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0810" yWindow="795" windowWidth="15105" windowHeight="8520" activeTab="5"/>
  </bookViews>
  <sheets>
    <sheet name="System Curve Calc" sheetId="1" r:id="rId1"/>
    <sheet name="Sheet2" sheetId="10" r:id="rId2"/>
    <sheet name="Pump Curves at Diff Speeds" sheetId="4" r:id="rId3"/>
    <sheet name="two pumps worksheet" sheetId="6" r:id="rId4"/>
    <sheet name="one pump graph" sheetId="5" r:id="rId5"/>
    <sheet name="two pumps graph" sheetId="7" r:id="rId6"/>
    <sheet name="3 pump work sheet" sheetId="9" r:id="rId7"/>
    <sheet name="Compare" sheetId="8" r:id="rId8"/>
  </sheets>
  <definedNames>
    <definedName name="_xlnm.Print_Area" localSheetId="7">Compare!$H$4:$T$23</definedName>
    <definedName name="solver_adj" localSheetId="0" hidden="1">'System Curve Calc'!$M$40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'System Curve Calc'!$S$44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'System Curve Calc'!$T$40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hs1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A16" i="6" l="1"/>
  <c r="A17" i="6"/>
  <c r="A18" i="6"/>
  <c r="A19" i="6"/>
  <c r="A20" i="6"/>
  <c r="A21" i="6"/>
  <c r="A22" i="6"/>
  <c r="A23" i="6"/>
  <c r="A15" i="6"/>
  <c r="B16" i="6"/>
  <c r="B17" i="6"/>
  <c r="C17" i="6" s="1"/>
  <c r="B18" i="6"/>
  <c r="B19" i="6"/>
  <c r="C19" i="6" s="1"/>
  <c r="B20" i="6"/>
  <c r="B21" i="6"/>
  <c r="B22" i="6"/>
  <c r="C22" i="6" s="1"/>
  <c r="B23" i="6"/>
  <c r="C23" i="6" s="1"/>
  <c r="B15" i="6"/>
  <c r="C15" i="6" s="1"/>
  <c r="C21" i="6"/>
  <c r="C20" i="6"/>
  <c r="C18" i="6"/>
  <c r="C16" i="6"/>
  <c r="C65" i="9" l="1"/>
  <c r="C66" i="9"/>
  <c r="C67" i="9"/>
  <c r="C68" i="9"/>
  <c r="C69" i="9"/>
  <c r="C70" i="9"/>
  <c r="C71" i="9"/>
  <c r="C72" i="9"/>
  <c r="C64" i="9"/>
  <c r="C53" i="9"/>
  <c r="C54" i="9"/>
  <c r="C55" i="9"/>
  <c r="C56" i="9"/>
  <c r="C57" i="9"/>
  <c r="C58" i="9"/>
  <c r="C59" i="9"/>
  <c r="C60" i="9"/>
  <c r="C52" i="9"/>
  <c r="C41" i="9"/>
  <c r="C42" i="9"/>
  <c r="C43" i="9"/>
  <c r="C44" i="9"/>
  <c r="C45" i="9"/>
  <c r="C46" i="9"/>
  <c r="C47" i="9"/>
  <c r="C48" i="9"/>
  <c r="C40" i="9"/>
  <c r="C29" i="9"/>
  <c r="C30" i="9"/>
  <c r="C31" i="9"/>
  <c r="C32" i="9"/>
  <c r="C33" i="9"/>
  <c r="C34" i="9"/>
  <c r="C35" i="9"/>
  <c r="C36" i="9"/>
  <c r="C28" i="9"/>
  <c r="C17" i="9"/>
  <c r="C18" i="9"/>
  <c r="C19" i="9"/>
  <c r="C20" i="9"/>
  <c r="C21" i="9"/>
  <c r="C22" i="9"/>
  <c r="C23" i="9"/>
  <c r="C24" i="9"/>
  <c r="C16" i="9"/>
  <c r="C5" i="9"/>
  <c r="C6" i="9"/>
  <c r="C7" i="9"/>
  <c r="C8" i="9"/>
  <c r="C9" i="9"/>
  <c r="C10" i="9"/>
  <c r="C11" i="9"/>
  <c r="C12" i="9"/>
  <c r="C4" i="9"/>
  <c r="A16" i="9"/>
  <c r="B72" i="9"/>
  <c r="A72" i="9"/>
  <c r="B71" i="9"/>
  <c r="A71" i="9"/>
  <c r="B70" i="9"/>
  <c r="A70" i="9"/>
  <c r="B69" i="9"/>
  <c r="A69" i="9"/>
  <c r="B68" i="9"/>
  <c r="A68" i="9"/>
  <c r="B67" i="9"/>
  <c r="A67" i="9"/>
  <c r="B66" i="9"/>
  <c r="A66" i="9"/>
  <c r="B65" i="9"/>
  <c r="A65" i="9"/>
  <c r="B64" i="9"/>
  <c r="A64" i="9"/>
  <c r="B60" i="9"/>
  <c r="A60" i="9"/>
  <c r="B59" i="9"/>
  <c r="A59" i="9"/>
  <c r="B58" i="9"/>
  <c r="A58" i="9"/>
  <c r="B57" i="9"/>
  <c r="A57" i="9"/>
  <c r="B56" i="9"/>
  <c r="A56" i="9"/>
  <c r="B55" i="9"/>
  <c r="A55" i="9"/>
  <c r="B54" i="9"/>
  <c r="A54" i="9"/>
  <c r="B53" i="9"/>
  <c r="A53" i="9"/>
  <c r="B52" i="9"/>
  <c r="A52" i="9"/>
  <c r="B48" i="9"/>
  <c r="A48" i="9"/>
  <c r="B47" i="9"/>
  <c r="A47" i="9"/>
  <c r="B46" i="9"/>
  <c r="A46" i="9"/>
  <c r="B45" i="9"/>
  <c r="A45" i="9"/>
  <c r="B44" i="9"/>
  <c r="A44" i="9"/>
  <c r="B43" i="9"/>
  <c r="A43" i="9"/>
  <c r="B42" i="9"/>
  <c r="A42" i="9"/>
  <c r="B41" i="9"/>
  <c r="A41" i="9"/>
  <c r="B40" i="9"/>
  <c r="A40" i="9"/>
  <c r="B36" i="9"/>
  <c r="A36" i="9"/>
  <c r="B35" i="9"/>
  <c r="A35" i="9"/>
  <c r="B34" i="9"/>
  <c r="A34" i="9"/>
  <c r="B33" i="9"/>
  <c r="A33" i="9"/>
  <c r="B32" i="9"/>
  <c r="A32" i="9"/>
  <c r="B31" i="9"/>
  <c r="A31" i="9"/>
  <c r="B30" i="9"/>
  <c r="A30" i="9"/>
  <c r="B29" i="9"/>
  <c r="A29" i="9"/>
  <c r="B28" i="9"/>
  <c r="A28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B17" i="9"/>
  <c r="A17" i="9"/>
  <c r="B16" i="9"/>
  <c r="A26" i="6"/>
  <c r="F3" i="1" l="1"/>
  <c r="F8" i="1"/>
  <c r="Q34" i="8"/>
  <c r="S34" i="8"/>
  <c r="T34" i="8"/>
  <c r="A28" i="4" l="1"/>
  <c r="A16" i="4"/>
  <c r="K16" i="1" l="1"/>
  <c r="Q33" i="8" l="1"/>
  <c r="S33" i="8"/>
  <c r="T33" i="8"/>
  <c r="T32" i="8" l="1"/>
  <c r="S32" i="8"/>
  <c r="Q32" i="8"/>
  <c r="Q31" i="8" l="1"/>
  <c r="S31" i="8"/>
  <c r="T31" i="8"/>
  <c r="B16" i="4" l="1"/>
  <c r="B17" i="4"/>
  <c r="Q30" i="8" l="1"/>
  <c r="S30" i="8"/>
  <c r="T30" i="8"/>
  <c r="Q29" i="8" l="1"/>
  <c r="S29" i="8"/>
  <c r="T29" i="8"/>
  <c r="Q28" i="8" l="1"/>
  <c r="S28" i="8"/>
  <c r="T28" i="8"/>
  <c r="Q27" i="8" l="1"/>
  <c r="S27" i="8"/>
  <c r="T27" i="8"/>
  <c r="Q26" i="8" l="1"/>
  <c r="S26" i="8"/>
  <c r="T26" i="8"/>
  <c r="Q25" i="8" l="1"/>
  <c r="S25" i="8"/>
  <c r="T25" i="8"/>
  <c r="Q24" i="8" l="1"/>
  <c r="S24" i="8"/>
  <c r="T24" i="8"/>
  <c r="Q23" i="8" l="1"/>
  <c r="S23" i="8"/>
  <c r="T23" i="8"/>
  <c r="Q22" i="8" l="1"/>
  <c r="S22" i="8"/>
  <c r="T22" i="8"/>
  <c r="Q21" i="8" l="1"/>
  <c r="S21" i="8"/>
  <c r="T21" i="8"/>
  <c r="Q20" i="8" l="1"/>
  <c r="S20" i="8"/>
  <c r="T20" i="8"/>
  <c r="Q19" i="8" l="1"/>
  <c r="S19" i="8"/>
  <c r="T19" i="8"/>
  <c r="S18" i="8" l="1"/>
  <c r="T18" i="8"/>
  <c r="Q18" i="8"/>
  <c r="S17" i="8" l="1"/>
  <c r="T17" i="8"/>
  <c r="Q17" i="8"/>
  <c r="S16" i="8" l="1"/>
  <c r="T16" i="8"/>
  <c r="Q16" i="8"/>
  <c r="Q6" i="8" l="1"/>
  <c r="Q7" i="8"/>
  <c r="Q8" i="8"/>
  <c r="Q15" i="8"/>
  <c r="Q5" i="8"/>
  <c r="S5" i="8"/>
  <c r="S3" i="8" s="1"/>
  <c r="S6" i="8"/>
  <c r="T6" i="8"/>
  <c r="S7" i="8"/>
  <c r="T7" i="8"/>
  <c r="S8" i="8"/>
  <c r="T8" i="8"/>
  <c r="S15" i="8"/>
  <c r="T15" i="8"/>
  <c r="T5" i="8"/>
  <c r="T3" i="8" s="1"/>
  <c r="K40" i="1" l="1"/>
  <c r="K41" i="1"/>
  <c r="K42" i="1"/>
  <c r="K43" i="1"/>
  <c r="I40" i="1"/>
  <c r="I41" i="1"/>
  <c r="I42" i="1"/>
  <c r="I43" i="1"/>
  <c r="H40" i="1"/>
  <c r="J40" i="1" s="1"/>
  <c r="H41" i="1"/>
  <c r="J41" i="1" s="1"/>
  <c r="H42" i="1"/>
  <c r="J42" i="1" s="1"/>
  <c r="H43" i="1"/>
  <c r="J43" i="1" s="1"/>
  <c r="B26" i="6"/>
  <c r="B38" i="6"/>
  <c r="A38" i="6"/>
  <c r="A51" i="6"/>
  <c r="B51" i="6"/>
  <c r="A52" i="6"/>
  <c r="B52" i="6"/>
  <c r="A53" i="6"/>
  <c r="B53" i="6"/>
  <c r="A54" i="6"/>
  <c r="B54" i="6"/>
  <c r="A55" i="6"/>
  <c r="B55" i="6"/>
  <c r="A56" i="6"/>
  <c r="B56" i="6"/>
  <c r="A57" i="6"/>
  <c r="B57" i="6"/>
  <c r="A58" i="6"/>
  <c r="B58" i="6"/>
  <c r="B50" i="6"/>
  <c r="A50" i="6"/>
  <c r="A75" i="6"/>
  <c r="B75" i="6"/>
  <c r="C75" i="6" s="1"/>
  <c r="A76" i="6"/>
  <c r="B76" i="6"/>
  <c r="C76" i="6" s="1"/>
  <c r="A77" i="6"/>
  <c r="B77" i="6"/>
  <c r="C77" i="6" s="1"/>
  <c r="A78" i="6"/>
  <c r="B78" i="6"/>
  <c r="C78" i="6" s="1"/>
  <c r="A79" i="6"/>
  <c r="B79" i="6"/>
  <c r="C79" i="6" s="1"/>
  <c r="A80" i="6"/>
  <c r="B80" i="6"/>
  <c r="C80" i="6" s="1"/>
  <c r="A81" i="6"/>
  <c r="B81" i="6"/>
  <c r="C81" i="6" s="1"/>
  <c r="A82" i="6"/>
  <c r="B82" i="6"/>
  <c r="C82" i="6" s="1"/>
  <c r="B74" i="6"/>
  <c r="C74" i="6" s="1"/>
  <c r="A74" i="6"/>
  <c r="A63" i="6"/>
  <c r="B63" i="6"/>
  <c r="C63" i="6" s="1"/>
  <c r="A64" i="6"/>
  <c r="B64" i="6"/>
  <c r="C64" i="6" s="1"/>
  <c r="A65" i="6"/>
  <c r="B65" i="6"/>
  <c r="C65" i="6" s="1"/>
  <c r="A66" i="6"/>
  <c r="B66" i="6"/>
  <c r="A67" i="6"/>
  <c r="B67" i="6"/>
  <c r="C67" i="6" s="1"/>
  <c r="A68" i="6"/>
  <c r="B68" i="6"/>
  <c r="C68" i="6" s="1"/>
  <c r="A69" i="6"/>
  <c r="B69" i="6"/>
  <c r="C69" i="6" s="1"/>
  <c r="A70" i="6"/>
  <c r="B70" i="6"/>
  <c r="C70" i="6" s="1"/>
  <c r="B62" i="6"/>
  <c r="C62" i="6" s="1"/>
  <c r="A62" i="6"/>
  <c r="C66" i="6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B64" i="4"/>
  <c r="A64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60" i="4"/>
  <c r="B60" i="4"/>
  <c r="B52" i="4"/>
  <c r="A52" i="4"/>
  <c r="B40" i="4"/>
  <c r="A40" i="4"/>
  <c r="B28" i="4"/>
  <c r="A17" i="4"/>
  <c r="C36" i="1" l="1"/>
  <c r="H36" i="1" l="1"/>
  <c r="C34" i="1"/>
  <c r="C58" i="6" l="1"/>
  <c r="C57" i="6"/>
  <c r="C56" i="6"/>
  <c r="C55" i="6"/>
  <c r="C54" i="6"/>
  <c r="C53" i="6"/>
  <c r="C52" i="6"/>
  <c r="C51" i="6"/>
  <c r="C50" i="6"/>
  <c r="C38" i="6"/>
  <c r="C33" i="6"/>
  <c r="C26" i="6"/>
  <c r="C12" i="6"/>
  <c r="C11" i="6"/>
  <c r="C10" i="6"/>
  <c r="C9" i="6"/>
  <c r="C8" i="6"/>
  <c r="C7" i="6"/>
  <c r="C6" i="6"/>
  <c r="C5" i="6"/>
  <c r="C4" i="6"/>
  <c r="B46" i="6"/>
  <c r="C46" i="6" s="1"/>
  <c r="A46" i="6"/>
  <c r="B45" i="6"/>
  <c r="C45" i="6" s="1"/>
  <c r="A45" i="6"/>
  <c r="B44" i="6"/>
  <c r="C44" i="6" s="1"/>
  <c r="A44" i="6"/>
  <c r="B43" i="6"/>
  <c r="C43" i="6" s="1"/>
  <c r="A43" i="6"/>
  <c r="B42" i="6"/>
  <c r="C42" i="6" s="1"/>
  <c r="A42" i="6"/>
  <c r="B41" i="6"/>
  <c r="C41" i="6" s="1"/>
  <c r="A41" i="6"/>
  <c r="B40" i="6"/>
  <c r="C40" i="6" s="1"/>
  <c r="A40" i="6"/>
  <c r="B39" i="6"/>
  <c r="C39" i="6" s="1"/>
  <c r="A39" i="6"/>
  <c r="B34" i="6"/>
  <c r="C34" i="6" s="1"/>
  <c r="A34" i="6"/>
  <c r="B33" i="6"/>
  <c r="A33" i="6"/>
  <c r="B32" i="6"/>
  <c r="C32" i="6" s="1"/>
  <c r="A32" i="6"/>
  <c r="B31" i="6"/>
  <c r="C31" i="6" s="1"/>
  <c r="A31" i="6"/>
  <c r="B30" i="6"/>
  <c r="C30" i="6" s="1"/>
  <c r="A30" i="6"/>
  <c r="B29" i="6"/>
  <c r="C29" i="6" s="1"/>
  <c r="A29" i="6"/>
  <c r="B28" i="6"/>
  <c r="C28" i="6" s="1"/>
  <c r="A28" i="6"/>
  <c r="B27" i="6"/>
  <c r="C27" i="6" s="1"/>
  <c r="A27" i="6"/>
  <c r="B30" i="4"/>
  <c r="R31" i="1" l="1"/>
  <c r="O31" i="1"/>
  <c r="L31" i="1"/>
  <c r="N14" i="1"/>
  <c r="L14" i="1"/>
  <c r="L16" i="1" l="1"/>
  <c r="L41" i="1"/>
  <c r="L42" i="1"/>
  <c r="L40" i="1"/>
  <c r="L43" i="1"/>
  <c r="C35" i="1"/>
  <c r="C37" i="1"/>
  <c r="C38" i="1"/>
  <c r="C39" i="1"/>
  <c r="B48" i="4"/>
  <c r="A48" i="4"/>
  <c r="B47" i="4"/>
  <c r="A47" i="4"/>
  <c r="B46" i="4"/>
  <c r="A46" i="4"/>
  <c r="B45" i="4"/>
  <c r="A45" i="4"/>
  <c r="B44" i="4"/>
  <c r="A44" i="4"/>
  <c r="B43" i="4"/>
  <c r="A43" i="4"/>
  <c r="B42" i="4"/>
  <c r="A42" i="4"/>
  <c r="B41" i="4"/>
  <c r="A41" i="4"/>
  <c r="B36" i="4"/>
  <c r="A36" i="4"/>
  <c r="B35" i="4"/>
  <c r="A35" i="4"/>
  <c r="B34" i="4"/>
  <c r="A34" i="4"/>
  <c r="B33" i="4"/>
  <c r="A33" i="4"/>
  <c r="B32" i="4"/>
  <c r="A32" i="4"/>
  <c r="B31" i="4"/>
  <c r="A31" i="4"/>
  <c r="A30" i="4"/>
  <c r="B29" i="4"/>
  <c r="A29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P35" i="1" l="1"/>
  <c r="P36" i="1"/>
  <c r="P37" i="1"/>
  <c r="P38" i="1"/>
  <c r="P39" i="1"/>
  <c r="S39" i="1" s="1"/>
  <c r="P34" i="1"/>
  <c r="Q34" i="1" l="1"/>
  <c r="R34" i="1" s="1"/>
  <c r="Q35" i="1"/>
  <c r="R35" i="1" s="1"/>
  <c r="Q36" i="1"/>
  <c r="R36" i="1" s="1"/>
  <c r="Q37" i="1"/>
  <c r="R37" i="1" s="1"/>
  <c r="Q38" i="1"/>
  <c r="R38" i="1" s="1"/>
  <c r="Q39" i="1"/>
  <c r="R39" i="1" s="1"/>
  <c r="Q33" i="1"/>
  <c r="R33" i="1" s="1"/>
  <c r="E36" i="1"/>
  <c r="N35" i="1"/>
  <c r="O35" i="1" s="1"/>
  <c r="N36" i="1"/>
  <c r="O36" i="1" s="1"/>
  <c r="N37" i="1"/>
  <c r="O37" i="1" s="1"/>
  <c r="N33" i="1"/>
  <c r="O33" i="1" s="1"/>
  <c r="M16" i="1"/>
  <c r="N16" i="1" s="1"/>
  <c r="S33" i="1"/>
  <c r="N34" i="1"/>
  <c r="O34" i="1" s="1"/>
  <c r="T34" i="1" s="1"/>
  <c r="S35" i="1"/>
  <c r="S36" i="1"/>
  <c r="S37" i="1"/>
  <c r="N38" i="1"/>
  <c r="O38" i="1" s="1"/>
  <c r="N39" i="1"/>
  <c r="O39" i="1" s="1"/>
  <c r="E32" i="1"/>
  <c r="D32" i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I39" i="1"/>
  <c r="H39" i="1"/>
  <c r="I38" i="1"/>
  <c r="H38" i="1"/>
  <c r="I37" i="1"/>
  <c r="H37" i="1"/>
  <c r="I36" i="1"/>
  <c r="I35" i="1"/>
  <c r="H35" i="1"/>
  <c r="I34" i="1"/>
  <c r="H34" i="1"/>
  <c r="I33" i="1"/>
  <c r="H33" i="1"/>
  <c r="J33" i="1" s="1"/>
  <c r="H17" i="1"/>
  <c r="H18" i="1"/>
  <c r="H19" i="1"/>
  <c r="H20" i="1"/>
  <c r="H21" i="1"/>
  <c r="H22" i="1"/>
  <c r="H16" i="1"/>
  <c r="M17" i="1"/>
  <c r="N17" i="1" s="1"/>
  <c r="M22" i="1"/>
  <c r="N22" i="1" s="1"/>
  <c r="M21" i="1"/>
  <c r="N21" i="1" s="1"/>
  <c r="M20" i="1"/>
  <c r="N20" i="1" s="1"/>
  <c r="M19" i="1"/>
  <c r="N19" i="1" s="1"/>
  <c r="M18" i="1"/>
  <c r="N18" i="1" s="1"/>
  <c r="K22" i="1"/>
  <c r="L22" i="1" s="1"/>
  <c r="K17" i="1"/>
  <c r="L17" i="1" s="1"/>
  <c r="K18" i="1"/>
  <c r="L18" i="1" s="1"/>
  <c r="K19" i="1"/>
  <c r="L19" i="1" s="1"/>
  <c r="K20" i="1"/>
  <c r="L20" i="1" s="1"/>
  <c r="K21" i="1"/>
  <c r="L21" i="1" s="1"/>
  <c r="I17" i="1"/>
  <c r="I18" i="1"/>
  <c r="I19" i="1"/>
  <c r="I20" i="1"/>
  <c r="I21" i="1"/>
  <c r="I22" i="1"/>
  <c r="I16" i="1"/>
  <c r="D36" i="1" l="1"/>
  <c r="D40" i="1"/>
  <c r="D43" i="1"/>
  <c r="D41" i="1"/>
  <c r="D42" i="1"/>
  <c r="E33" i="1"/>
  <c r="E42" i="1"/>
  <c r="E40" i="1"/>
  <c r="E41" i="1"/>
  <c r="E43" i="1"/>
  <c r="J18" i="1"/>
  <c r="J35" i="1"/>
  <c r="D39" i="1"/>
  <c r="E37" i="1"/>
  <c r="D37" i="1"/>
  <c r="O16" i="1"/>
  <c r="O21" i="1"/>
  <c r="U33" i="1"/>
  <c r="V33" i="1" s="1"/>
  <c r="E38" i="1"/>
  <c r="J21" i="1"/>
  <c r="E35" i="1"/>
  <c r="D35" i="1"/>
  <c r="O18" i="1"/>
  <c r="O17" i="1"/>
  <c r="E39" i="1"/>
  <c r="E34" i="1"/>
  <c r="U37" i="1"/>
  <c r="U35" i="1"/>
  <c r="U39" i="1"/>
  <c r="U38" i="1"/>
  <c r="U36" i="1"/>
  <c r="U34" i="1"/>
  <c r="T36" i="1"/>
  <c r="J37" i="1"/>
  <c r="O19" i="1"/>
  <c r="J22" i="1"/>
  <c r="J34" i="1"/>
  <c r="D38" i="1"/>
  <c r="D34" i="1"/>
  <c r="J20" i="1"/>
  <c r="T35" i="1"/>
  <c r="J19" i="1"/>
  <c r="D33" i="1"/>
  <c r="T37" i="1"/>
  <c r="T38" i="1"/>
  <c r="T39" i="1"/>
  <c r="T33" i="1"/>
  <c r="O20" i="1"/>
  <c r="O22" i="1"/>
  <c r="S34" i="1"/>
  <c r="J16" i="1"/>
  <c r="J38" i="1"/>
  <c r="S38" i="1"/>
  <c r="J39" i="1"/>
  <c r="J17" i="1"/>
  <c r="J36" i="1"/>
  <c r="P18" i="1" l="1"/>
  <c r="V35" i="1"/>
  <c r="P19" i="1"/>
  <c r="V37" i="1"/>
  <c r="V36" i="1"/>
  <c r="P20" i="1"/>
  <c r="P21" i="1"/>
  <c r="P17" i="1"/>
  <c r="P22" i="1"/>
  <c r="V39" i="1"/>
  <c r="V34" i="1"/>
  <c r="P16" i="1"/>
  <c r="V38" i="1"/>
  <c r="C40" i="1"/>
  <c r="C42" i="1"/>
  <c r="C43" i="1"/>
  <c r="N41" i="1"/>
  <c r="O41" i="1" s="1"/>
  <c r="C41" i="1"/>
  <c r="N43" i="1"/>
  <c r="O43" i="1" s="1"/>
  <c r="P41" i="1"/>
  <c r="S41" i="1" s="1"/>
  <c r="P42" i="1"/>
  <c r="S42" i="1" s="1"/>
  <c r="N42" i="1"/>
  <c r="O42" i="1" s="1"/>
  <c r="P43" i="1"/>
  <c r="S43" i="1" s="1"/>
  <c r="Q43" i="1"/>
  <c r="R43" i="1" s="1"/>
  <c r="P40" i="1"/>
  <c r="S40" i="1" s="1"/>
  <c r="N40" i="1"/>
  <c r="O40" i="1" s="1"/>
  <c r="U43" i="1" l="1"/>
  <c r="V43" i="1" s="1"/>
  <c r="Q42" i="1"/>
  <c r="R42" i="1" s="1"/>
  <c r="U42" i="1" s="1"/>
  <c r="V42" i="1" s="1"/>
  <c r="S44" i="1"/>
  <c r="T43" i="1"/>
  <c r="Q41" i="1"/>
  <c r="R41" i="1" s="1"/>
  <c r="U41" i="1" s="1"/>
  <c r="V41" i="1" s="1"/>
  <c r="Q40" i="1"/>
  <c r="R40" i="1" s="1"/>
  <c r="U40" i="1" s="1"/>
  <c r="V40" i="1" s="1"/>
  <c r="T40" i="1" l="1"/>
  <c r="T42" i="1"/>
  <c r="T41" i="1"/>
  <c r="T44" i="1" l="1"/>
</calcChain>
</file>

<file path=xl/comments1.xml><?xml version="1.0" encoding="utf-8"?>
<comments xmlns="http://schemas.openxmlformats.org/spreadsheetml/2006/main">
  <authors>
    <author>Author</author>
  </authors>
  <commentList>
    <comment ref="F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Normally 60+ psi to fill CF Tank.  Placed 49 psi for empty tank to allow being on right of curve for NPSH study.</t>
        </r>
      </text>
    </comment>
    <comment ref="L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 Factor</t>
        </r>
      </text>
    </comment>
    <comment ref="N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 Factor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Friction Loss</t>
        </r>
      </text>
    </comment>
    <comment ref="N1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Friction Loss</t>
        </r>
      </text>
    </comment>
    <comment ref="L3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 Factor</t>
        </r>
      </text>
    </comment>
    <comment ref="O3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 Factor</t>
        </r>
      </text>
    </comment>
    <comment ref="R3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 Factor</t>
        </r>
      </text>
    </comment>
    <comment ref="L3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Friction Loss</t>
        </r>
      </text>
    </comment>
  </commentList>
</comments>
</file>

<file path=xl/sharedStrings.xml><?xml version="1.0" encoding="utf-8"?>
<sst xmlns="http://schemas.openxmlformats.org/spreadsheetml/2006/main" count="117" uniqueCount="41">
  <si>
    <t>EXISTING 24"</t>
  </si>
  <si>
    <t>EXISTING 30"</t>
  </si>
  <si>
    <t>PROPOSED 30"</t>
  </si>
  <si>
    <t>Manifold</t>
  </si>
  <si>
    <t>Elevation</t>
  </si>
  <si>
    <t>ft</t>
  </si>
  <si>
    <t>STATIC</t>
  </si>
  <si>
    <t>Total</t>
  </si>
  <si>
    <t>Flow</t>
  </si>
  <si>
    <t>gpm</t>
  </si>
  <si>
    <t>DYNAMIC</t>
  </si>
  <si>
    <t>fps</t>
  </si>
  <si>
    <t>TDH</t>
  </si>
  <si>
    <t>subflow</t>
  </si>
  <si>
    <t>subflows</t>
  </si>
  <si>
    <t>balance</t>
  </si>
  <si>
    <t>Check</t>
  </si>
  <si>
    <t>Perry Road</t>
  </si>
  <si>
    <t xml:space="preserve">Head </t>
  </si>
  <si>
    <t>GPM</t>
  </si>
  <si>
    <t>Perry Road Pump Station Elevation</t>
  </si>
  <si>
    <t>Perry Road Pump Suction Pressure</t>
  </si>
  <si>
    <t>Existing Pipeline Length of 30" across Hwy 501</t>
  </si>
  <si>
    <t>Existing Pipeline Length of 24" from 501 to International Rd</t>
  </si>
  <si>
    <t>Proposed Length of 30" from 501 to International Rd</t>
  </si>
  <si>
    <t>Elevation of Intertie at International Rd</t>
  </si>
  <si>
    <t>Static Pressure of Intertie at International Rd</t>
  </si>
  <si>
    <t>psi</t>
  </si>
  <si>
    <t>C-Factor for Pipeline</t>
  </si>
  <si>
    <t>values are calculated or estimated</t>
  </si>
  <si>
    <t>values are manually adjusted to make subflows and friction balance.</t>
  </si>
  <si>
    <t>1 pump</t>
  </si>
  <si>
    <t>2 pumps</t>
  </si>
  <si>
    <t>Reservoir</t>
  </si>
  <si>
    <t>Pump #1</t>
  </si>
  <si>
    <t>Pump #2</t>
  </si>
  <si>
    <t>CF Tank</t>
  </si>
  <si>
    <t>Meter</t>
  </si>
  <si>
    <t>Curve</t>
  </si>
  <si>
    <t>Off</t>
  </si>
  <si>
    <t>Pump 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</si>
</sst>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0.0%"/>
    <numFmt numFmtId="167" formatCode="0.0"/>
  </numFmts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1" fontId="0" fillId="0" borderId="1" xfId="0" applyNumberFormat="1" applyBorder="1"/>
    <xf numFmtId="1" fontId="0" fillId="0" borderId="2" xfId="0" applyNumberFormat="1" applyBorder="1"/>
    <xf numFmtId="164" fontId="0" fillId="0" borderId="1" xfId="0" applyNumberFormat="1" applyBorder="1"/>
    <xf numFmtId="0" fontId="0" fillId="0" borderId="1" xfId="0" applyFill="1" applyBorder="1"/>
    <xf numFmtId="0" fontId="0" fillId="4" borderId="0" xfId="0" applyFill="1"/>
    <xf numFmtId="0" fontId="0" fillId="5" borderId="0" xfId="0" applyFill="1"/>
    <xf numFmtId="1" fontId="0" fillId="0" borderId="0" xfId="0" applyNumberFormat="1"/>
    <xf numFmtId="0" fontId="0" fillId="6" borderId="0" xfId="0" applyFill="1"/>
    <xf numFmtId="0" fontId="0" fillId="7" borderId="0" xfId="0" applyFill="1"/>
    <xf numFmtId="0" fontId="0" fillId="0" borderId="0" xfId="0" applyFill="1" applyBorder="1" applyAlignment="1">
      <alignment horizontal="right"/>
    </xf>
    <xf numFmtId="165" fontId="0" fillId="2" borderId="1" xfId="2" applyNumberFormat="1" applyFont="1" applyFill="1" applyBorder="1"/>
    <xf numFmtId="165" fontId="0" fillId="0" borderId="1" xfId="2" applyNumberFormat="1" applyFont="1" applyBorder="1"/>
    <xf numFmtId="165" fontId="0" fillId="0" borderId="0" xfId="2" applyNumberFormat="1" applyFont="1"/>
    <xf numFmtId="165" fontId="0" fillId="3" borderId="1" xfId="2" applyNumberFormat="1" applyFont="1" applyFill="1" applyBorder="1"/>
    <xf numFmtId="166" fontId="0" fillId="0" borderId="0" xfId="1" applyNumberFormat="1" applyFont="1"/>
    <xf numFmtId="0" fontId="0" fillId="2" borderId="0" xfId="0" applyFill="1"/>
    <xf numFmtId="0" fontId="0" fillId="8" borderId="0" xfId="0" applyFill="1"/>
    <xf numFmtId="14" fontId="0" fillId="0" borderId="0" xfId="0" applyNumberFormat="1"/>
    <xf numFmtId="0" fontId="0" fillId="0" borderId="0" xfId="0" applyNumberFormat="1"/>
    <xf numFmtId="0" fontId="0" fillId="0" borderId="1" xfId="0" applyNumberFormat="1" applyBorder="1"/>
    <xf numFmtId="167" fontId="0" fillId="2" borderId="1" xfId="0" applyNumberFormat="1" applyFill="1" applyBorder="1"/>
    <xf numFmtId="18" fontId="0" fillId="0" borderId="0" xfId="0" applyNumberFormat="1"/>
    <xf numFmtId="166" fontId="0" fillId="0" borderId="0" xfId="0" applyNumberFormat="1"/>
    <xf numFmtId="43" fontId="0" fillId="0" borderId="0" xfId="2" applyFont="1"/>
    <xf numFmtId="165" fontId="0" fillId="0" borderId="0" xfId="0" applyNumberFormat="1"/>
    <xf numFmtId="166" fontId="0" fillId="0" borderId="0" xfId="1" applyNumberFormat="1" applyFont="1" applyAlignment="1">
      <alignment horizontal="center"/>
    </xf>
    <xf numFmtId="9" fontId="0" fillId="0" borderId="0" xfId="1" applyFont="1"/>
    <xf numFmtId="44" fontId="0" fillId="0" borderId="0" xfId="3" applyFont="1"/>
    <xf numFmtId="167" fontId="0" fillId="0" borderId="0" xfId="1" applyNumberFormat="1" applyFont="1"/>
    <xf numFmtId="167" fontId="0" fillId="0" borderId="0" xfId="0" applyNumberFormat="1"/>
    <xf numFmtId="14" fontId="0" fillId="7" borderId="0" xfId="0" applyNumberFormat="1" applyFill="1"/>
    <xf numFmtId="18" fontId="0" fillId="7" borderId="0" xfId="0" applyNumberFormat="1" applyFill="1"/>
    <xf numFmtId="166" fontId="0" fillId="7" borderId="0" xfId="1" applyNumberFormat="1" applyFont="1" applyFill="1"/>
    <xf numFmtId="43" fontId="0" fillId="7" borderId="0" xfId="2" applyFont="1" applyFill="1"/>
    <xf numFmtId="165" fontId="0" fillId="7" borderId="0" xfId="0" applyNumberFormat="1" applyFill="1"/>
    <xf numFmtId="14" fontId="0" fillId="0" borderId="0" xfId="0" applyNumberFormat="1" applyFill="1"/>
    <xf numFmtId="18" fontId="0" fillId="0" borderId="0" xfId="0" applyNumberFormat="1" applyFill="1"/>
    <xf numFmtId="0" fontId="0" fillId="0" borderId="0" xfId="0" applyFill="1"/>
    <xf numFmtId="166" fontId="0" fillId="0" borderId="0" xfId="1" applyNumberFormat="1" applyFont="1" applyFill="1"/>
    <xf numFmtId="43" fontId="0" fillId="0" borderId="0" xfId="2" applyFont="1" applyFill="1"/>
    <xf numFmtId="165" fontId="0" fillId="0" borderId="0" xfId="0" applyNumberFormat="1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9" borderId="0" xfId="0" applyFill="1"/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24" Only</a:t>
            </a:r>
            <a:r>
              <a:rPr lang="en-US" baseline="0"/>
              <a:t> Conditions</a:t>
            </a:r>
            <a:endParaRPr lang="en-US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Existing</c:v>
          </c:tx>
          <c:xVal>
            <c:numRef>
              <c:f>'System Curve Calc'!$G$16:$G$22</c:f>
              <c:numCache>
                <c:formatCode>_(* #,##0_);_(* \(#,##0\);_(* "-"??_);_(@_)</c:formatCode>
                <c:ptCount val="7"/>
                <c:pt idx="0" formatCode="General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</c:numCache>
            </c:numRef>
          </c:xVal>
          <c:yVal>
            <c:numRef>
              <c:f>'System Curve Calc'!$P$16:$P$22</c:f>
              <c:numCache>
                <c:formatCode>0</c:formatCode>
                <c:ptCount val="7"/>
                <c:pt idx="0">
                  <c:v>126.86799999999999</c:v>
                </c:pt>
                <c:pt idx="1">
                  <c:v>135.31199999999998</c:v>
                </c:pt>
                <c:pt idx="2">
                  <c:v>157.32900000000001</c:v>
                </c:pt>
                <c:pt idx="3">
                  <c:v>191.346</c:v>
                </c:pt>
                <c:pt idx="4">
                  <c:v>236.67699999999999</c:v>
                </c:pt>
                <c:pt idx="5">
                  <c:v>292.77599999999995</c:v>
                </c:pt>
                <c:pt idx="6">
                  <c:v>359.36099999999999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429824"/>
        <c:axId val="126435712"/>
      </c:scatterChart>
      <c:valAx>
        <c:axId val="12642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435712"/>
        <c:crosses val="autoZero"/>
        <c:crossBetween val="midCat"/>
      </c:valAx>
      <c:valAx>
        <c:axId val="1264357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64298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24" and 30" Conditions</a:t>
            </a:r>
            <a:endParaRPr lang="en-US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'System Curve Calc'!$G$33:$G$39</c:f>
              <c:numCache>
                <c:formatCode>_(* #,##0_);_(* \(#,##0\);_(* "-"??_);_(@_)</c:formatCode>
                <c:ptCount val="7"/>
                <c:pt idx="0" formatCode="General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</c:numCache>
            </c:numRef>
          </c:xVal>
          <c:yVal>
            <c:numRef>
              <c:f>'System Curve Calc'!$V$33:$V$39</c:f>
              <c:numCache>
                <c:formatCode>0</c:formatCode>
                <c:ptCount val="7"/>
                <c:pt idx="0">
                  <c:v>126.86799999999999</c:v>
                </c:pt>
                <c:pt idx="1">
                  <c:v>129.535</c:v>
                </c:pt>
                <c:pt idx="2">
                  <c:v>136.48399999999998</c:v>
                </c:pt>
                <c:pt idx="3">
                  <c:v>147.226</c:v>
                </c:pt>
                <c:pt idx="4">
                  <c:v>161.52999999999997</c:v>
                </c:pt>
                <c:pt idx="5">
                  <c:v>179.245</c:v>
                </c:pt>
                <c:pt idx="6">
                  <c:v>200.25700000000001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464000"/>
        <c:axId val="126465536"/>
      </c:scatterChart>
      <c:valAx>
        <c:axId val="12646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465536"/>
        <c:crosses val="autoZero"/>
        <c:crossBetween val="midCat"/>
      </c:valAx>
      <c:valAx>
        <c:axId val="126465536"/>
        <c:scaling>
          <c:orientation val="minMax"/>
          <c:max val="4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6464000"/>
        <c:crosses val="autoZero"/>
        <c:crossBetween val="midCat"/>
        <c:majorUnit val="5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Comparison Conditions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661951154410785E-2"/>
          <c:y val="7.7444558560614704E-2"/>
          <c:w val="0.93823639841629969"/>
          <c:h val="0.87028171478565175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'System Curve Calc'!$G$33:$G$43</c:f>
              <c:numCache>
                <c:formatCode>_(* #,##0_);_(* \(#,##0\);_(* "-"??_);_(@_)</c:formatCode>
                <c:ptCount val="11"/>
                <c:pt idx="0" formatCode="General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</c:numCache>
            </c:numRef>
          </c:xVal>
          <c:yVal>
            <c:numRef>
              <c:f>'System Curve Calc'!$V$33:$V$43</c:f>
              <c:numCache>
                <c:formatCode>0</c:formatCode>
                <c:ptCount val="11"/>
                <c:pt idx="0">
                  <c:v>126.86799999999999</c:v>
                </c:pt>
                <c:pt idx="1">
                  <c:v>129.535</c:v>
                </c:pt>
                <c:pt idx="2">
                  <c:v>136.48399999999998</c:v>
                </c:pt>
                <c:pt idx="3">
                  <c:v>147.226</c:v>
                </c:pt>
                <c:pt idx="4">
                  <c:v>161.52999999999997</c:v>
                </c:pt>
                <c:pt idx="5">
                  <c:v>179.245</c:v>
                </c:pt>
                <c:pt idx="6">
                  <c:v>200.25700000000001</c:v>
                </c:pt>
                <c:pt idx="7">
                  <c:v>224.476</c:v>
                </c:pt>
                <c:pt idx="8">
                  <c:v>251.827</c:v>
                </c:pt>
                <c:pt idx="9">
                  <c:v>282.27599999999995</c:v>
                </c:pt>
                <c:pt idx="10">
                  <c:v>315.71600000000001</c:v>
                </c:pt>
              </c:numCache>
            </c:numRef>
          </c:yVal>
          <c:smooth val="1"/>
        </c:ser>
        <c:ser>
          <c:idx val="1"/>
          <c:order val="1"/>
          <c:tx>
            <c:v>Existing Conditions</c:v>
          </c:tx>
          <c:xVal>
            <c:numRef>
              <c:f>'System Curve Calc'!$G$16:$G$22</c:f>
              <c:numCache>
                <c:formatCode>_(* #,##0_);_(* \(#,##0\);_(* "-"??_);_(@_)</c:formatCode>
                <c:ptCount val="7"/>
                <c:pt idx="0" formatCode="General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</c:numCache>
            </c:numRef>
          </c:xVal>
          <c:yVal>
            <c:numRef>
              <c:f>'System Curve Calc'!$P$16:$P$22</c:f>
              <c:numCache>
                <c:formatCode>0</c:formatCode>
                <c:ptCount val="7"/>
                <c:pt idx="0">
                  <c:v>126.86799999999999</c:v>
                </c:pt>
                <c:pt idx="1">
                  <c:v>135.31199999999998</c:v>
                </c:pt>
                <c:pt idx="2">
                  <c:v>157.32900000000001</c:v>
                </c:pt>
                <c:pt idx="3">
                  <c:v>191.346</c:v>
                </c:pt>
                <c:pt idx="4">
                  <c:v>236.67699999999999</c:v>
                </c:pt>
                <c:pt idx="5">
                  <c:v>292.77599999999995</c:v>
                </c:pt>
                <c:pt idx="6">
                  <c:v>359.36099999999999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107840"/>
        <c:axId val="129109376"/>
      </c:scatterChart>
      <c:valAx>
        <c:axId val="12910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109376"/>
        <c:crosses val="autoZero"/>
        <c:crossBetween val="midCat"/>
      </c:valAx>
      <c:valAx>
        <c:axId val="1291093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91078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'Pump Curves at Diff Speeds'!$A$2</c:f>
              <c:strCache>
                <c:ptCount val="1"/>
                <c:pt idx="0">
                  <c:v>100</c:v>
                </c:pt>
              </c:strCache>
            </c:strRef>
          </c:tx>
          <c:xVal>
            <c:numRef>
              <c:f>'Pump Curves at Diff Speeds'!$B$4:$B$12</c:f>
              <c:numCache>
                <c:formatCode>General</c:formatCode>
                <c:ptCount val="9"/>
                <c:pt idx="0">
                  <c:v>0</c:v>
                </c:pt>
                <c:pt idx="1">
                  <c:v>1600</c:v>
                </c:pt>
                <c:pt idx="2">
                  <c:v>3200</c:v>
                </c:pt>
                <c:pt idx="3">
                  <c:v>4800</c:v>
                </c:pt>
                <c:pt idx="4">
                  <c:v>6400</c:v>
                </c:pt>
                <c:pt idx="5">
                  <c:v>8000</c:v>
                </c:pt>
                <c:pt idx="6">
                  <c:v>9600</c:v>
                </c:pt>
                <c:pt idx="7">
                  <c:v>11200</c:v>
                </c:pt>
                <c:pt idx="8">
                  <c:v>12800</c:v>
                </c:pt>
              </c:numCache>
            </c:numRef>
          </c:xVal>
          <c:yVal>
            <c:numRef>
              <c:f>'Pump Curves at Diff Speeds'!$A$4:$A$12</c:f>
              <c:numCache>
                <c:formatCode>General</c:formatCode>
                <c:ptCount val="9"/>
                <c:pt idx="0">
                  <c:v>340</c:v>
                </c:pt>
                <c:pt idx="1">
                  <c:v>335</c:v>
                </c:pt>
                <c:pt idx="2">
                  <c:v>320</c:v>
                </c:pt>
                <c:pt idx="3">
                  <c:v>310</c:v>
                </c:pt>
                <c:pt idx="4">
                  <c:v>290</c:v>
                </c:pt>
                <c:pt idx="5">
                  <c:v>265</c:v>
                </c:pt>
                <c:pt idx="6">
                  <c:v>240</c:v>
                </c:pt>
                <c:pt idx="7">
                  <c:v>200</c:v>
                </c:pt>
                <c:pt idx="8">
                  <c:v>150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'Pump Curves at Diff Speeds'!$A$15</c:f>
              <c:strCache>
                <c:ptCount val="1"/>
                <c:pt idx="0">
                  <c:v>90</c:v>
                </c:pt>
              </c:strCache>
            </c:strRef>
          </c:tx>
          <c:xVal>
            <c:numRef>
              <c:f>'Pump Curves at Diff Speeds'!$B$16:$B$24</c:f>
              <c:numCache>
                <c:formatCode>0</c:formatCode>
                <c:ptCount val="9"/>
                <c:pt idx="0" formatCode="General">
                  <c:v>0</c:v>
                </c:pt>
                <c:pt idx="1">
                  <c:v>1440</c:v>
                </c:pt>
                <c:pt idx="2">
                  <c:v>2880</c:v>
                </c:pt>
                <c:pt idx="3">
                  <c:v>4320</c:v>
                </c:pt>
                <c:pt idx="4">
                  <c:v>5760</c:v>
                </c:pt>
                <c:pt idx="5">
                  <c:v>7200</c:v>
                </c:pt>
                <c:pt idx="6">
                  <c:v>8640</c:v>
                </c:pt>
                <c:pt idx="7">
                  <c:v>10080</c:v>
                </c:pt>
                <c:pt idx="8">
                  <c:v>11520</c:v>
                </c:pt>
              </c:numCache>
            </c:numRef>
          </c:xVal>
          <c:yVal>
            <c:numRef>
              <c:f>'Pump Curves at Diff Speeds'!$A$16:$A$24</c:f>
              <c:numCache>
                <c:formatCode>0</c:formatCode>
                <c:ptCount val="9"/>
                <c:pt idx="0">
                  <c:v>275.39999999999998</c:v>
                </c:pt>
                <c:pt idx="1">
                  <c:v>271.34999999999997</c:v>
                </c:pt>
                <c:pt idx="2">
                  <c:v>259.2</c:v>
                </c:pt>
                <c:pt idx="3">
                  <c:v>251.09999999999997</c:v>
                </c:pt>
                <c:pt idx="4">
                  <c:v>234.89999999999998</c:v>
                </c:pt>
                <c:pt idx="5">
                  <c:v>214.64999999999998</c:v>
                </c:pt>
                <c:pt idx="6">
                  <c:v>194.39999999999998</c:v>
                </c:pt>
                <c:pt idx="7">
                  <c:v>161.99999999999997</c:v>
                </c:pt>
                <c:pt idx="8">
                  <c:v>121.49999999999999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'Pump Curves at Diff Speeds'!$A$27</c:f>
              <c:strCache>
                <c:ptCount val="1"/>
                <c:pt idx="0">
                  <c:v>85</c:v>
                </c:pt>
              </c:strCache>
            </c:strRef>
          </c:tx>
          <c:xVal>
            <c:numRef>
              <c:f>'Pump Curves at Diff Speeds'!$B$28:$B$36</c:f>
              <c:numCache>
                <c:formatCode>0</c:formatCode>
                <c:ptCount val="9"/>
                <c:pt idx="0">
                  <c:v>0</c:v>
                </c:pt>
                <c:pt idx="1">
                  <c:v>1360</c:v>
                </c:pt>
                <c:pt idx="2">
                  <c:v>2720</c:v>
                </c:pt>
                <c:pt idx="3">
                  <c:v>4080</c:v>
                </c:pt>
                <c:pt idx="4">
                  <c:v>5440</c:v>
                </c:pt>
                <c:pt idx="5">
                  <c:v>6800</c:v>
                </c:pt>
                <c:pt idx="6">
                  <c:v>8160</c:v>
                </c:pt>
                <c:pt idx="7">
                  <c:v>9520</c:v>
                </c:pt>
                <c:pt idx="8">
                  <c:v>10880</c:v>
                </c:pt>
              </c:numCache>
            </c:numRef>
          </c:xVal>
          <c:yVal>
            <c:numRef>
              <c:f>'Pump Curves at Diff Speeds'!$A$28:$A$36</c:f>
              <c:numCache>
                <c:formatCode>0</c:formatCode>
                <c:ptCount val="9"/>
                <c:pt idx="0">
                  <c:v>245.64999999999998</c:v>
                </c:pt>
                <c:pt idx="1">
                  <c:v>242.03749999999999</c:v>
                </c:pt>
                <c:pt idx="2">
                  <c:v>231.2</c:v>
                </c:pt>
                <c:pt idx="3">
                  <c:v>223.97499999999999</c:v>
                </c:pt>
                <c:pt idx="4">
                  <c:v>209.52499999999998</c:v>
                </c:pt>
                <c:pt idx="5">
                  <c:v>191.46249999999998</c:v>
                </c:pt>
                <c:pt idx="6">
                  <c:v>173.39999999999998</c:v>
                </c:pt>
                <c:pt idx="7">
                  <c:v>144.5</c:v>
                </c:pt>
                <c:pt idx="8">
                  <c:v>108.37499999999999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'Pump Curves at Diff Speeds'!$A$39</c:f>
              <c:strCache>
                <c:ptCount val="1"/>
                <c:pt idx="0">
                  <c:v>80</c:v>
                </c:pt>
              </c:strCache>
            </c:strRef>
          </c:tx>
          <c:xVal>
            <c:numRef>
              <c:f>'Pump Curves at Diff Speeds'!$B$40:$B$48</c:f>
              <c:numCache>
                <c:formatCode>0</c:formatCode>
                <c:ptCount val="9"/>
                <c:pt idx="0" formatCode="General">
                  <c:v>0</c:v>
                </c:pt>
                <c:pt idx="1">
                  <c:v>1280</c:v>
                </c:pt>
                <c:pt idx="2">
                  <c:v>2560</c:v>
                </c:pt>
                <c:pt idx="3">
                  <c:v>3840</c:v>
                </c:pt>
                <c:pt idx="4">
                  <c:v>5120</c:v>
                </c:pt>
                <c:pt idx="5">
                  <c:v>6400</c:v>
                </c:pt>
                <c:pt idx="6">
                  <c:v>7680</c:v>
                </c:pt>
                <c:pt idx="7">
                  <c:v>8960</c:v>
                </c:pt>
                <c:pt idx="8">
                  <c:v>10240</c:v>
                </c:pt>
              </c:numCache>
            </c:numRef>
          </c:xVal>
          <c:yVal>
            <c:numRef>
              <c:f>'Pump Curves at Diff Speeds'!$A$40:$A$48</c:f>
              <c:numCache>
                <c:formatCode>0</c:formatCode>
                <c:ptCount val="9"/>
                <c:pt idx="0">
                  <c:v>217.6</c:v>
                </c:pt>
                <c:pt idx="1">
                  <c:v>214.4</c:v>
                </c:pt>
                <c:pt idx="2">
                  <c:v>204.8</c:v>
                </c:pt>
                <c:pt idx="3">
                  <c:v>198.4</c:v>
                </c:pt>
                <c:pt idx="4">
                  <c:v>185.6</c:v>
                </c:pt>
                <c:pt idx="5">
                  <c:v>169.6</c:v>
                </c:pt>
                <c:pt idx="6">
                  <c:v>153.6</c:v>
                </c:pt>
                <c:pt idx="7">
                  <c:v>128</c:v>
                </c:pt>
                <c:pt idx="8">
                  <c:v>96</c:v>
                </c:pt>
              </c:numCache>
            </c:numRef>
          </c:yVal>
          <c:smooth val="1"/>
        </c:ser>
        <c:ser>
          <c:idx val="3"/>
          <c:order val="4"/>
          <c:tx>
            <c:strRef>
              <c:f>'Pump Curves at Diff Speeds'!$A$51</c:f>
              <c:strCache>
                <c:ptCount val="1"/>
                <c:pt idx="0">
                  <c:v>75</c:v>
                </c:pt>
              </c:strCache>
            </c:strRef>
          </c:tx>
          <c:xVal>
            <c:numRef>
              <c:f>'Pump Curves at Diff Speeds'!$B$52:$B$60</c:f>
              <c:numCache>
                <c:formatCode>General</c:formatCode>
                <c:ptCount val="9"/>
                <c:pt idx="0">
                  <c:v>0</c:v>
                </c:pt>
                <c:pt idx="1">
                  <c:v>1200</c:v>
                </c:pt>
                <c:pt idx="2">
                  <c:v>2400</c:v>
                </c:pt>
                <c:pt idx="3">
                  <c:v>3600</c:v>
                </c:pt>
                <c:pt idx="4">
                  <c:v>4800</c:v>
                </c:pt>
                <c:pt idx="5">
                  <c:v>6000</c:v>
                </c:pt>
                <c:pt idx="6">
                  <c:v>7200</c:v>
                </c:pt>
                <c:pt idx="7">
                  <c:v>8400</c:v>
                </c:pt>
                <c:pt idx="8">
                  <c:v>9600</c:v>
                </c:pt>
              </c:numCache>
            </c:numRef>
          </c:xVal>
          <c:yVal>
            <c:numRef>
              <c:f>'Pump Curves at Diff Speeds'!$A$52:$A$60</c:f>
              <c:numCache>
                <c:formatCode>0</c:formatCode>
                <c:ptCount val="9"/>
                <c:pt idx="0">
                  <c:v>191.25</c:v>
                </c:pt>
                <c:pt idx="1">
                  <c:v>188.4375</c:v>
                </c:pt>
                <c:pt idx="2">
                  <c:v>180</c:v>
                </c:pt>
                <c:pt idx="3">
                  <c:v>174.375</c:v>
                </c:pt>
                <c:pt idx="4">
                  <c:v>163.125</c:v>
                </c:pt>
                <c:pt idx="5">
                  <c:v>149.0625</c:v>
                </c:pt>
                <c:pt idx="6">
                  <c:v>135</c:v>
                </c:pt>
                <c:pt idx="7">
                  <c:v>112.5</c:v>
                </c:pt>
                <c:pt idx="8">
                  <c:v>84.375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'Pump Curves at Diff Speeds'!$A$63</c:f>
              <c:strCache>
                <c:ptCount val="1"/>
                <c:pt idx="0">
                  <c:v>70</c:v>
                </c:pt>
              </c:strCache>
            </c:strRef>
          </c:tx>
          <c:xVal>
            <c:numRef>
              <c:f>'Pump Curves at Diff Speeds'!$B$64:$B$72</c:f>
              <c:numCache>
                <c:formatCode>General</c:formatCode>
                <c:ptCount val="9"/>
                <c:pt idx="0">
                  <c:v>0</c:v>
                </c:pt>
                <c:pt idx="1">
                  <c:v>1120</c:v>
                </c:pt>
                <c:pt idx="2">
                  <c:v>2240</c:v>
                </c:pt>
                <c:pt idx="3">
                  <c:v>3360</c:v>
                </c:pt>
                <c:pt idx="4">
                  <c:v>4480</c:v>
                </c:pt>
                <c:pt idx="5">
                  <c:v>5600</c:v>
                </c:pt>
                <c:pt idx="6">
                  <c:v>6720</c:v>
                </c:pt>
                <c:pt idx="7">
                  <c:v>7840</c:v>
                </c:pt>
                <c:pt idx="8">
                  <c:v>8960</c:v>
                </c:pt>
              </c:numCache>
            </c:numRef>
          </c:xVal>
          <c:yVal>
            <c:numRef>
              <c:f>'Pump Curves at Diff Speeds'!$A$64:$A$72</c:f>
              <c:numCache>
                <c:formatCode>0</c:formatCode>
                <c:ptCount val="9"/>
                <c:pt idx="0">
                  <c:v>166.6</c:v>
                </c:pt>
                <c:pt idx="1">
                  <c:v>164.15</c:v>
                </c:pt>
                <c:pt idx="2">
                  <c:v>156.79999999999998</c:v>
                </c:pt>
                <c:pt idx="3">
                  <c:v>151.9</c:v>
                </c:pt>
                <c:pt idx="4">
                  <c:v>142.1</c:v>
                </c:pt>
                <c:pt idx="5">
                  <c:v>129.85</c:v>
                </c:pt>
                <c:pt idx="6">
                  <c:v>117.6</c:v>
                </c:pt>
                <c:pt idx="7">
                  <c:v>98</c:v>
                </c:pt>
                <c:pt idx="8">
                  <c:v>73.5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567360"/>
        <c:axId val="127568896"/>
      </c:scatterChart>
      <c:valAx>
        <c:axId val="12756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7568896"/>
        <c:crosses val="autoZero"/>
        <c:crossBetween val="midCat"/>
      </c:valAx>
      <c:valAx>
        <c:axId val="127568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5673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Perry</a:t>
            </a:r>
            <a:r>
              <a:rPr lang="en-US" baseline="0"/>
              <a:t> Rd Pump Curves at Varied Speeds (ONE PUMP RUNNING) with System Curve Information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429016929890223E-2"/>
          <c:y val="0.10853357193987115"/>
          <c:w val="0.76391253506953605"/>
          <c:h val="0.798137151037938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'Pump Curves at Diff Speeds'!$A$2</c:f>
              <c:strCache>
                <c:ptCount val="1"/>
                <c:pt idx="0">
                  <c:v>100</c:v>
                </c:pt>
              </c:strCache>
            </c:strRef>
          </c:tx>
          <c:xVal>
            <c:numRef>
              <c:f>'Pump Curves at Diff Speeds'!$B$4:$B$12</c:f>
              <c:numCache>
                <c:formatCode>General</c:formatCode>
                <c:ptCount val="9"/>
                <c:pt idx="0">
                  <c:v>0</c:v>
                </c:pt>
                <c:pt idx="1">
                  <c:v>1600</c:v>
                </c:pt>
                <c:pt idx="2">
                  <c:v>3200</c:v>
                </c:pt>
                <c:pt idx="3">
                  <c:v>4800</c:v>
                </c:pt>
                <c:pt idx="4">
                  <c:v>6400</c:v>
                </c:pt>
                <c:pt idx="5">
                  <c:v>8000</c:v>
                </c:pt>
                <c:pt idx="6">
                  <c:v>9600</c:v>
                </c:pt>
                <c:pt idx="7">
                  <c:v>11200</c:v>
                </c:pt>
                <c:pt idx="8">
                  <c:v>12800</c:v>
                </c:pt>
              </c:numCache>
            </c:numRef>
          </c:xVal>
          <c:yVal>
            <c:numRef>
              <c:f>'Pump Curves at Diff Speeds'!$A$4:$A$12</c:f>
              <c:numCache>
                <c:formatCode>General</c:formatCode>
                <c:ptCount val="9"/>
                <c:pt idx="0">
                  <c:v>340</c:v>
                </c:pt>
                <c:pt idx="1">
                  <c:v>335</c:v>
                </c:pt>
                <c:pt idx="2">
                  <c:v>320</c:v>
                </c:pt>
                <c:pt idx="3">
                  <c:v>310</c:v>
                </c:pt>
                <c:pt idx="4">
                  <c:v>290</c:v>
                </c:pt>
                <c:pt idx="5">
                  <c:v>265</c:v>
                </c:pt>
                <c:pt idx="6">
                  <c:v>240</c:v>
                </c:pt>
                <c:pt idx="7">
                  <c:v>200</c:v>
                </c:pt>
                <c:pt idx="8">
                  <c:v>150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'Pump Curves at Diff Speeds'!$A$15</c:f>
              <c:strCache>
                <c:ptCount val="1"/>
                <c:pt idx="0">
                  <c:v>90</c:v>
                </c:pt>
              </c:strCache>
            </c:strRef>
          </c:tx>
          <c:xVal>
            <c:numRef>
              <c:f>'Pump Curves at Diff Speeds'!$B$16:$B$24</c:f>
              <c:numCache>
                <c:formatCode>0</c:formatCode>
                <c:ptCount val="9"/>
                <c:pt idx="0" formatCode="General">
                  <c:v>0</c:v>
                </c:pt>
                <c:pt idx="1">
                  <c:v>1440</c:v>
                </c:pt>
                <c:pt idx="2">
                  <c:v>2880</c:v>
                </c:pt>
                <c:pt idx="3">
                  <c:v>4320</c:v>
                </c:pt>
                <c:pt idx="4">
                  <c:v>5760</c:v>
                </c:pt>
                <c:pt idx="5">
                  <c:v>7200</c:v>
                </c:pt>
                <c:pt idx="6">
                  <c:v>8640</c:v>
                </c:pt>
                <c:pt idx="7">
                  <c:v>10080</c:v>
                </c:pt>
                <c:pt idx="8">
                  <c:v>11520</c:v>
                </c:pt>
              </c:numCache>
            </c:numRef>
          </c:xVal>
          <c:yVal>
            <c:numRef>
              <c:f>'Pump Curves at Diff Speeds'!$A$16:$A$24</c:f>
              <c:numCache>
                <c:formatCode>0</c:formatCode>
                <c:ptCount val="9"/>
                <c:pt idx="0">
                  <c:v>275.39999999999998</c:v>
                </c:pt>
                <c:pt idx="1">
                  <c:v>271.34999999999997</c:v>
                </c:pt>
                <c:pt idx="2">
                  <c:v>259.2</c:v>
                </c:pt>
                <c:pt idx="3">
                  <c:v>251.09999999999997</c:v>
                </c:pt>
                <c:pt idx="4">
                  <c:v>234.89999999999998</c:v>
                </c:pt>
                <c:pt idx="5">
                  <c:v>214.64999999999998</c:v>
                </c:pt>
                <c:pt idx="6">
                  <c:v>194.39999999999998</c:v>
                </c:pt>
                <c:pt idx="7">
                  <c:v>161.99999999999997</c:v>
                </c:pt>
                <c:pt idx="8">
                  <c:v>121.49999999999999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'Pump Curves at Diff Speeds'!$A$27</c:f>
              <c:strCache>
                <c:ptCount val="1"/>
                <c:pt idx="0">
                  <c:v>85</c:v>
                </c:pt>
              </c:strCache>
            </c:strRef>
          </c:tx>
          <c:xVal>
            <c:numRef>
              <c:f>'Pump Curves at Diff Speeds'!$B$28:$B$36</c:f>
              <c:numCache>
                <c:formatCode>0</c:formatCode>
                <c:ptCount val="9"/>
                <c:pt idx="0">
                  <c:v>0</c:v>
                </c:pt>
                <c:pt idx="1">
                  <c:v>1360</c:v>
                </c:pt>
                <c:pt idx="2">
                  <c:v>2720</c:v>
                </c:pt>
                <c:pt idx="3">
                  <c:v>4080</c:v>
                </c:pt>
                <c:pt idx="4">
                  <c:v>5440</c:v>
                </c:pt>
                <c:pt idx="5">
                  <c:v>6800</c:v>
                </c:pt>
                <c:pt idx="6">
                  <c:v>8160</c:v>
                </c:pt>
                <c:pt idx="7">
                  <c:v>9520</c:v>
                </c:pt>
                <c:pt idx="8">
                  <c:v>10880</c:v>
                </c:pt>
              </c:numCache>
            </c:numRef>
          </c:xVal>
          <c:yVal>
            <c:numRef>
              <c:f>'Pump Curves at Diff Speeds'!$A$28:$A$36</c:f>
              <c:numCache>
                <c:formatCode>0</c:formatCode>
                <c:ptCount val="9"/>
                <c:pt idx="0">
                  <c:v>245.64999999999998</c:v>
                </c:pt>
                <c:pt idx="1">
                  <c:v>242.03749999999999</c:v>
                </c:pt>
                <c:pt idx="2">
                  <c:v>231.2</c:v>
                </c:pt>
                <c:pt idx="3">
                  <c:v>223.97499999999999</c:v>
                </c:pt>
                <c:pt idx="4">
                  <c:v>209.52499999999998</c:v>
                </c:pt>
                <c:pt idx="5">
                  <c:v>191.46249999999998</c:v>
                </c:pt>
                <c:pt idx="6">
                  <c:v>173.39999999999998</c:v>
                </c:pt>
                <c:pt idx="7">
                  <c:v>144.5</c:v>
                </c:pt>
                <c:pt idx="8">
                  <c:v>108.37499999999999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'Pump Curves at Diff Speeds'!$A$39</c:f>
              <c:strCache>
                <c:ptCount val="1"/>
                <c:pt idx="0">
                  <c:v>80</c:v>
                </c:pt>
              </c:strCache>
            </c:strRef>
          </c:tx>
          <c:xVal>
            <c:numRef>
              <c:f>'Pump Curves at Diff Speeds'!$B$40:$B$48</c:f>
              <c:numCache>
                <c:formatCode>0</c:formatCode>
                <c:ptCount val="9"/>
                <c:pt idx="0" formatCode="General">
                  <c:v>0</c:v>
                </c:pt>
                <c:pt idx="1">
                  <c:v>1280</c:v>
                </c:pt>
                <c:pt idx="2">
                  <c:v>2560</c:v>
                </c:pt>
                <c:pt idx="3">
                  <c:v>3840</c:v>
                </c:pt>
                <c:pt idx="4">
                  <c:v>5120</c:v>
                </c:pt>
                <c:pt idx="5">
                  <c:v>6400</c:v>
                </c:pt>
                <c:pt idx="6">
                  <c:v>7680</c:v>
                </c:pt>
                <c:pt idx="7">
                  <c:v>8960</c:v>
                </c:pt>
                <c:pt idx="8">
                  <c:v>10240</c:v>
                </c:pt>
              </c:numCache>
            </c:numRef>
          </c:xVal>
          <c:yVal>
            <c:numRef>
              <c:f>'Pump Curves at Diff Speeds'!$A$40:$A$48</c:f>
              <c:numCache>
                <c:formatCode>0</c:formatCode>
                <c:ptCount val="9"/>
                <c:pt idx="0">
                  <c:v>217.6</c:v>
                </c:pt>
                <c:pt idx="1">
                  <c:v>214.4</c:v>
                </c:pt>
                <c:pt idx="2">
                  <c:v>204.8</c:v>
                </c:pt>
                <c:pt idx="3">
                  <c:v>198.4</c:v>
                </c:pt>
                <c:pt idx="4">
                  <c:v>185.6</c:v>
                </c:pt>
                <c:pt idx="5">
                  <c:v>169.6</c:v>
                </c:pt>
                <c:pt idx="6">
                  <c:v>153.6</c:v>
                </c:pt>
                <c:pt idx="7">
                  <c:v>128</c:v>
                </c:pt>
                <c:pt idx="8">
                  <c:v>96</c:v>
                </c:pt>
              </c:numCache>
            </c:numRef>
          </c:yVal>
          <c:smooth val="1"/>
        </c:ser>
        <c:ser>
          <c:idx val="6"/>
          <c:order val="4"/>
          <c:tx>
            <c:strRef>
              <c:f>'Pump Curves at Diff Speeds'!$A$51</c:f>
              <c:strCache>
                <c:ptCount val="1"/>
                <c:pt idx="0">
                  <c:v>75</c:v>
                </c:pt>
              </c:strCache>
            </c:strRef>
          </c:tx>
          <c:xVal>
            <c:numRef>
              <c:f>'Pump Curves at Diff Speeds'!$B$52:$B$60</c:f>
              <c:numCache>
                <c:formatCode>General</c:formatCode>
                <c:ptCount val="9"/>
                <c:pt idx="0">
                  <c:v>0</c:v>
                </c:pt>
                <c:pt idx="1">
                  <c:v>1200</c:v>
                </c:pt>
                <c:pt idx="2">
                  <c:v>2400</c:v>
                </c:pt>
                <c:pt idx="3">
                  <c:v>3600</c:v>
                </c:pt>
                <c:pt idx="4">
                  <c:v>4800</c:v>
                </c:pt>
                <c:pt idx="5">
                  <c:v>6000</c:v>
                </c:pt>
                <c:pt idx="6">
                  <c:v>7200</c:v>
                </c:pt>
                <c:pt idx="7">
                  <c:v>8400</c:v>
                </c:pt>
                <c:pt idx="8">
                  <c:v>9600</c:v>
                </c:pt>
              </c:numCache>
            </c:numRef>
          </c:xVal>
          <c:yVal>
            <c:numRef>
              <c:f>'Pump Curves at Diff Speeds'!$A$52:$A$60</c:f>
              <c:numCache>
                <c:formatCode>0</c:formatCode>
                <c:ptCount val="9"/>
                <c:pt idx="0">
                  <c:v>191.25</c:v>
                </c:pt>
                <c:pt idx="1">
                  <c:v>188.4375</c:v>
                </c:pt>
                <c:pt idx="2">
                  <c:v>180</c:v>
                </c:pt>
                <c:pt idx="3">
                  <c:v>174.375</c:v>
                </c:pt>
                <c:pt idx="4">
                  <c:v>163.125</c:v>
                </c:pt>
                <c:pt idx="5">
                  <c:v>149.0625</c:v>
                </c:pt>
                <c:pt idx="6">
                  <c:v>135</c:v>
                </c:pt>
                <c:pt idx="7">
                  <c:v>112.5</c:v>
                </c:pt>
                <c:pt idx="8">
                  <c:v>84.375</c:v>
                </c:pt>
              </c:numCache>
            </c:numRef>
          </c:yVal>
          <c:smooth val="1"/>
        </c:ser>
        <c:ser>
          <c:idx val="7"/>
          <c:order val="5"/>
          <c:tx>
            <c:strRef>
              <c:f>'Pump Curves at Diff Speeds'!$A$63</c:f>
              <c:strCache>
                <c:ptCount val="1"/>
                <c:pt idx="0">
                  <c:v>70</c:v>
                </c:pt>
              </c:strCache>
            </c:strRef>
          </c:tx>
          <c:xVal>
            <c:numRef>
              <c:f>'Pump Curves at Diff Speeds'!$B$64:$B$72</c:f>
              <c:numCache>
                <c:formatCode>General</c:formatCode>
                <c:ptCount val="9"/>
                <c:pt idx="0">
                  <c:v>0</c:v>
                </c:pt>
                <c:pt idx="1">
                  <c:v>1120</c:v>
                </c:pt>
                <c:pt idx="2">
                  <c:v>2240</c:v>
                </c:pt>
                <c:pt idx="3">
                  <c:v>3360</c:v>
                </c:pt>
                <c:pt idx="4">
                  <c:v>4480</c:v>
                </c:pt>
                <c:pt idx="5">
                  <c:v>5600</c:v>
                </c:pt>
                <c:pt idx="6">
                  <c:v>6720</c:v>
                </c:pt>
                <c:pt idx="7">
                  <c:v>7840</c:v>
                </c:pt>
                <c:pt idx="8">
                  <c:v>8960</c:v>
                </c:pt>
              </c:numCache>
            </c:numRef>
          </c:xVal>
          <c:yVal>
            <c:numRef>
              <c:f>'Pump Curves at Diff Speeds'!$A$64:$A$72</c:f>
              <c:numCache>
                <c:formatCode>0</c:formatCode>
                <c:ptCount val="9"/>
                <c:pt idx="0">
                  <c:v>166.6</c:v>
                </c:pt>
                <c:pt idx="1">
                  <c:v>164.15</c:v>
                </c:pt>
                <c:pt idx="2">
                  <c:v>156.79999999999998</c:v>
                </c:pt>
                <c:pt idx="3">
                  <c:v>151.9</c:v>
                </c:pt>
                <c:pt idx="4">
                  <c:v>142.1</c:v>
                </c:pt>
                <c:pt idx="5">
                  <c:v>129.85</c:v>
                </c:pt>
                <c:pt idx="6">
                  <c:v>117.6</c:v>
                </c:pt>
                <c:pt idx="7">
                  <c:v>98</c:v>
                </c:pt>
                <c:pt idx="8">
                  <c:v>73.5</c:v>
                </c:pt>
              </c:numCache>
            </c:numRef>
          </c:yVal>
          <c:smooth val="1"/>
        </c:ser>
        <c:ser>
          <c:idx val="5"/>
          <c:order val="6"/>
          <c:tx>
            <c:v>30" &amp; 24" Curve</c:v>
          </c:tx>
          <c:xVal>
            <c:numRef>
              <c:f>'System Curve Calc'!$G$33:$G$39</c:f>
              <c:numCache>
                <c:formatCode>_(* #,##0_);_(* \(#,##0\);_(* "-"??_);_(@_)</c:formatCode>
                <c:ptCount val="7"/>
                <c:pt idx="0" formatCode="General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</c:numCache>
            </c:numRef>
          </c:xVal>
          <c:yVal>
            <c:numRef>
              <c:f>'System Curve Calc'!$V$33:$V$39</c:f>
              <c:numCache>
                <c:formatCode>0</c:formatCode>
                <c:ptCount val="7"/>
                <c:pt idx="0">
                  <c:v>126.86799999999999</c:v>
                </c:pt>
                <c:pt idx="1">
                  <c:v>129.535</c:v>
                </c:pt>
                <c:pt idx="2">
                  <c:v>136.48399999999998</c:v>
                </c:pt>
                <c:pt idx="3">
                  <c:v>147.226</c:v>
                </c:pt>
                <c:pt idx="4">
                  <c:v>161.52999999999997</c:v>
                </c:pt>
                <c:pt idx="5">
                  <c:v>179.245</c:v>
                </c:pt>
                <c:pt idx="6">
                  <c:v>200.25700000000001</c:v>
                </c:pt>
              </c:numCache>
            </c:numRef>
          </c:yVal>
          <c:smooth val="1"/>
        </c:ser>
        <c:ser>
          <c:idx val="3"/>
          <c:order val="7"/>
          <c:tx>
            <c:strRef>
              <c:f>'two pumps worksheet'!$A$14</c:f>
              <c:strCache>
                <c:ptCount val="1"/>
                <c:pt idx="0">
                  <c:v>95</c:v>
                </c:pt>
              </c:strCache>
            </c:strRef>
          </c:tx>
          <c:xVal>
            <c:numRef>
              <c:f>'two pumps worksheet'!$B$15:$B$23</c:f>
              <c:numCache>
                <c:formatCode>General</c:formatCode>
                <c:ptCount val="9"/>
                <c:pt idx="0">
                  <c:v>0</c:v>
                </c:pt>
                <c:pt idx="1">
                  <c:v>1520</c:v>
                </c:pt>
                <c:pt idx="2">
                  <c:v>3040</c:v>
                </c:pt>
                <c:pt idx="3">
                  <c:v>4560</c:v>
                </c:pt>
                <c:pt idx="4">
                  <c:v>6080</c:v>
                </c:pt>
                <c:pt idx="5">
                  <c:v>7600</c:v>
                </c:pt>
                <c:pt idx="6">
                  <c:v>9120</c:v>
                </c:pt>
                <c:pt idx="7">
                  <c:v>10640</c:v>
                </c:pt>
                <c:pt idx="8">
                  <c:v>12160</c:v>
                </c:pt>
              </c:numCache>
            </c:numRef>
          </c:xVal>
          <c:yVal>
            <c:numRef>
              <c:f>'two pumps worksheet'!$A$15:$A$23</c:f>
              <c:numCache>
                <c:formatCode>0</c:formatCode>
                <c:ptCount val="9"/>
                <c:pt idx="0">
                  <c:v>306.85000000000002</c:v>
                </c:pt>
                <c:pt idx="1">
                  <c:v>302.33750000000003</c:v>
                </c:pt>
                <c:pt idx="2">
                  <c:v>288.8</c:v>
                </c:pt>
                <c:pt idx="3">
                  <c:v>279.77500000000003</c:v>
                </c:pt>
                <c:pt idx="4">
                  <c:v>261.72500000000002</c:v>
                </c:pt>
                <c:pt idx="5">
                  <c:v>239.16250000000002</c:v>
                </c:pt>
                <c:pt idx="6">
                  <c:v>216.60000000000002</c:v>
                </c:pt>
                <c:pt idx="7">
                  <c:v>180.50000000000003</c:v>
                </c:pt>
                <c:pt idx="8">
                  <c:v>135.37500000000003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741312"/>
        <c:axId val="127743488"/>
      </c:scatterChart>
      <c:valAx>
        <c:axId val="127741312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Gallons Per Minute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7743488"/>
        <c:crosses val="autoZero"/>
        <c:crossBetween val="midCat"/>
        <c:majorUnit val="2000"/>
        <c:minorUnit val="500"/>
      </c:valAx>
      <c:valAx>
        <c:axId val="127743488"/>
        <c:scaling>
          <c:orientation val="minMax"/>
        </c:scaling>
        <c:delete val="0"/>
        <c:axPos val="l"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Feet</a:t>
                </a:r>
                <a:r>
                  <a:rPr lang="en-US" baseline="0"/>
                  <a:t> of Water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77413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865204182503773"/>
          <c:y val="0.22810081765123894"/>
          <c:w val="0.12773236242139235"/>
          <c:h val="0.2635542840567951"/>
        </c:manualLayout>
      </c:layout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Perry Rd Pump Curves at Varied Speeds (TWO PUMPS RUNNING) with </a:t>
            </a:r>
            <a:br>
              <a:rPr lang="en-US"/>
            </a:br>
            <a:r>
              <a:rPr lang="en-US"/>
              <a:t>System Curve Information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934152985368032E-2"/>
          <c:y val="0.1192980195657361"/>
          <c:w val="0.77421403088509644"/>
          <c:h val="0.7771531058617672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'two pumps worksheet'!$A$2</c:f>
              <c:strCache>
                <c:ptCount val="1"/>
                <c:pt idx="0">
                  <c:v>100</c:v>
                </c:pt>
              </c:strCache>
            </c:strRef>
          </c:tx>
          <c:xVal>
            <c:numRef>
              <c:f>'two pumps worksheet'!$C$4:$C$12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3200</c:v>
                </c:pt>
                <c:pt idx="2">
                  <c:v>6400</c:v>
                </c:pt>
                <c:pt idx="3">
                  <c:v>9600</c:v>
                </c:pt>
                <c:pt idx="4">
                  <c:v>12800</c:v>
                </c:pt>
                <c:pt idx="5">
                  <c:v>16000</c:v>
                </c:pt>
                <c:pt idx="6">
                  <c:v>19200</c:v>
                </c:pt>
                <c:pt idx="7">
                  <c:v>22400</c:v>
                </c:pt>
                <c:pt idx="8">
                  <c:v>25600</c:v>
                </c:pt>
              </c:numCache>
            </c:numRef>
          </c:xVal>
          <c:yVal>
            <c:numRef>
              <c:f>'two pumps worksheet'!$A$4:$A$12</c:f>
              <c:numCache>
                <c:formatCode>General</c:formatCode>
                <c:ptCount val="9"/>
                <c:pt idx="0">
                  <c:v>340</c:v>
                </c:pt>
                <c:pt idx="1">
                  <c:v>335</c:v>
                </c:pt>
                <c:pt idx="2">
                  <c:v>320</c:v>
                </c:pt>
                <c:pt idx="3">
                  <c:v>310</c:v>
                </c:pt>
                <c:pt idx="4">
                  <c:v>290</c:v>
                </c:pt>
                <c:pt idx="5">
                  <c:v>265</c:v>
                </c:pt>
                <c:pt idx="6">
                  <c:v>240</c:v>
                </c:pt>
                <c:pt idx="7">
                  <c:v>200</c:v>
                </c:pt>
                <c:pt idx="8">
                  <c:v>150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'two pumps worksheet'!$A$25</c:f>
              <c:strCache>
                <c:ptCount val="1"/>
                <c:pt idx="0">
                  <c:v>90</c:v>
                </c:pt>
              </c:strCache>
            </c:strRef>
          </c:tx>
          <c:xVal>
            <c:numRef>
              <c:f>'two pumps worksheet'!$C$26:$C$34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2880</c:v>
                </c:pt>
                <c:pt idx="2">
                  <c:v>5760</c:v>
                </c:pt>
                <c:pt idx="3">
                  <c:v>8640</c:v>
                </c:pt>
                <c:pt idx="4">
                  <c:v>11520</c:v>
                </c:pt>
                <c:pt idx="5">
                  <c:v>14400</c:v>
                </c:pt>
                <c:pt idx="6">
                  <c:v>17280</c:v>
                </c:pt>
                <c:pt idx="7">
                  <c:v>20160</c:v>
                </c:pt>
                <c:pt idx="8">
                  <c:v>23040</c:v>
                </c:pt>
              </c:numCache>
            </c:numRef>
          </c:xVal>
          <c:yVal>
            <c:numRef>
              <c:f>'two pumps worksheet'!$A$26:$A$34</c:f>
              <c:numCache>
                <c:formatCode>0</c:formatCode>
                <c:ptCount val="9"/>
                <c:pt idx="0">
                  <c:v>275.39999999999998</c:v>
                </c:pt>
                <c:pt idx="1">
                  <c:v>271.34999999999997</c:v>
                </c:pt>
                <c:pt idx="2">
                  <c:v>259.2</c:v>
                </c:pt>
                <c:pt idx="3">
                  <c:v>251.09999999999997</c:v>
                </c:pt>
                <c:pt idx="4">
                  <c:v>234.89999999999998</c:v>
                </c:pt>
                <c:pt idx="5">
                  <c:v>214.64999999999998</c:v>
                </c:pt>
                <c:pt idx="6">
                  <c:v>194.39999999999998</c:v>
                </c:pt>
                <c:pt idx="7">
                  <c:v>161.99999999999997</c:v>
                </c:pt>
                <c:pt idx="8">
                  <c:v>121.49999999999999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'two pumps worksheet'!$A$37</c:f>
              <c:strCache>
                <c:ptCount val="1"/>
                <c:pt idx="0">
                  <c:v>85</c:v>
                </c:pt>
              </c:strCache>
            </c:strRef>
          </c:tx>
          <c:xVal>
            <c:numRef>
              <c:f>'two pumps worksheet'!$C$38:$C$46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2720</c:v>
                </c:pt>
                <c:pt idx="2">
                  <c:v>5440</c:v>
                </c:pt>
                <c:pt idx="3">
                  <c:v>8160</c:v>
                </c:pt>
                <c:pt idx="4">
                  <c:v>10880</c:v>
                </c:pt>
                <c:pt idx="5">
                  <c:v>13600</c:v>
                </c:pt>
                <c:pt idx="6">
                  <c:v>16320</c:v>
                </c:pt>
                <c:pt idx="7">
                  <c:v>19040</c:v>
                </c:pt>
                <c:pt idx="8">
                  <c:v>21760</c:v>
                </c:pt>
              </c:numCache>
            </c:numRef>
          </c:xVal>
          <c:yVal>
            <c:numRef>
              <c:f>'two pumps worksheet'!$A$38:$A$46</c:f>
              <c:numCache>
                <c:formatCode>0</c:formatCode>
                <c:ptCount val="9"/>
                <c:pt idx="0">
                  <c:v>245.64999999999998</c:v>
                </c:pt>
                <c:pt idx="1">
                  <c:v>242.03749999999999</c:v>
                </c:pt>
                <c:pt idx="2">
                  <c:v>231.2</c:v>
                </c:pt>
                <c:pt idx="3">
                  <c:v>223.97499999999999</c:v>
                </c:pt>
                <c:pt idx="4">
                  <c:v>209.52499999999998</c:v>
                </c:pt>
                <c:pt idx="5">
                  <c:v>191.46249999999998</c:v>
                </c:pt>
                <c:pt idx="6">
                  <c:v>173.39999999999998</c:v>
                </c:pt>
                <c:pt idx="7">
                  <c:v>144.5</c:v>
                </c:pt>
                <c:pt idx="8">
                  <c:v>108.37499999999999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'two pumps worksheet'!$A$49</c:f>
              <c:strCache>
                <c:ptCount val="1"/>
                <c:pt idx="0">
                  <c:v>80</c:v>
                </c:pt>
              </c:strCache>
            </c:strRef>
          </c:tx>
          <c:xVal>
            <c:numRef>
              <c:f>'two pumps worksheet'!$C$50:$C$58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2560</c:v>
                </c:pt>
                <c:pt idx="2">
                  <c:v>5120</c:v>
                </c:pt>
                <c:pt idx="3">
                  <c:v>7680</c:v>
                </c:pt>
                <c:pt idx="4">
                  <c:v>10240</c:v>
                </c:pt>
                <c:pt idx="5">
                  <c:v>12800</c:v>
                </c:pt>
                <c:pt idx="6">
                  <c:v>15360</c:v>
                </c:pt>
                <c:pt idx="7">
                  <c:v>17920</c:v>
                </c:pt>
                <c:pt idx="8">
                  <c:v>20480</c:v>
                </c:pt>
              </c:numCache>
            </c:numRef>
          </c:xVal>
          <c:yVal>
            <c:numRef>
              <c:f>'two pumps worksheet'!$A$50:$A$58</c:f>
              <c:numCache>
                <c:formatCode>0</c:formatCode>
                <c:ptCount val="9"/>
                <c:pt idx="0">
                  <c:v>217.6</c:v>
                </c:pt>
                <c:pt idx="1">
                  <c:v>214.4</c:v>
                </c:pt>
                <c:pt idx="2">
                  <c:v>204.8</c:v>
                </c:pt>
                <c:pt idx="3">
                  <c:v>198.4</c:v>
                </c:pt>
                <c:pt idx="4">
                  <c:v>185.6</c:v>
                </c:pt>
                <c:pt idx="5">
                  <c:v>169.6</c:v>
                </c:pt>
                <c:pt idx="6">
                  <c:v>153.6</c:v>
                </c:pt>
                <c:pt idx="7">
                  <c:v>128</c:v>
                </c:pt>
                <c:pt idx="8">
                  <c:v>96</c:v>
                </c:pt>
              </c:numCache>
            </c:numRef>
          </c:yVal>
          <c:smooth val="1"/>
        </c:ser>
        <c:ser>
          <c:idx val="6"/>
          <c:order val="4"/>
          <c:tx>
            <c:strRef>
              <c:f>'two pumps worksheet'!$A$61</c:f>
              <c:strCache>
                <c:ptCount val="1"/>
                <c:pt idx="0">
                  <c:v>75</c:v>
                </c:pt>
              </c:strCache>
            </c:strRef>
          </c:tx>
          <c:xVal>
            <c:numRef>
              <c:f>'two pumps worksheet'!$C$62:$C$70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2400</c:v>
                </c:pt>
                <c:pt idx="2">
                  <c:v>4800</c:v>
                </c:pt>
                <c:pt idx="3">
                  <c:v>7200</c:v>
                </c:pt>
                <c:pt idx="4">
                  <c:v>9600</c:v>
                </c:pt>
                <c:pt idx="5">
                  <c:v>12000</c:v>
                </c:pt>
                <c:pt idx="6">
                  <c:v>14400</c:v>
                </c:pt>
                <c:pt idx="7">
                  <c:v>16800</c:v>
                </c:pt>
                <c:pt idx="8">
                  <c:v>19200</c:v>
                </c:pt>
              </c:numCache>
            </c:numRef>
          </c:xVal>
          <c:yVal>
            <c:numRef>
              <c:f>'two pumps worksheet'!$A$62:$A$70</c:f>
              <c:numCache>
                <c:formatCode>0</c:formatCode>
                <c:ptCount val="9"/>
                <c:pt idx="0">
                  <c:v>191.25</c:v>
                </c:pt>
                <c:pt idx="1">
                  <c:v>188.4375</c:v>
                </c:pt>
                <c:pt idx="2">
                  <c:v>180</c:v>
                </c:pt>
                <c:pt idx="3">
                  <c:v>174.375</c:v>
                </c:pt>
                <c:pt idx="4">
                  <c:v>163.125</c:v>
                </c:pt>
                <c:pt idx="5">
                  <c:v>149.0625</c:v>
                </c:pt>
                <c:pt idx="6">
                  <c:v>135</c:v>
                </c:pt>
                <c:pt idx="7">
                  <c:v>112.5</c:v>
                </c:pt>
                <c:pt idx="8">
                  <c:v>84.375</c:v>
                </c:pt>
              </c:numCache>
            </c:numRef>
          </c:yVal>
          <c:smooth val="1"/>
        </c:ser>
        <c:ser>
          <c:idx val="7"/>
          <c:order val="5"/>
          <c:tx>
            <c:strRef>
              <c:f>'two pumps worksheet'!$A$73</c:f>
              <c:strCache>
                <c:ptCount val="1"/>
                <c:pt idx="0">
                  <c:v>70</c:v>
                </c:pt>
              </c:strCache>
            </c:strRef>
          </c:tx>
          <c:xVal>
            <c:numRef>
              <c:f>'two pumps worksheet'!$C$74:$C$82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2240</c:v>
                </c:pt>
                <c:pt idx="2">
                  <c:v>4480</c:v>
                </c:pt>
                <c:pt idx="3">
                  <c:v>6720</c:v>
                </c:pt>
                <c:pt idx="4">
                  <c:v>8960</c:v>
                </c:pt>
                <c:pt idx="5">
                  <c:v>11200</c:v>
                </c:pt>
                <c:pt idx="6">
                  <c:v>13440</c:v>
                </c:pt>
                <c:pt idx="7">
                  <c:v>15680</c:v>
                </c:pt>
                <c:pt idx="8">
                  <c:v>17920</c:v>
                </c:pt>
              </c:numCache>
            </c:numRef>
          </c:xVal>
          <c:yVal>
            <c:numRef>
              <c:f>'two pumps worksheet'!$A$74:$A$82</c:f>
              <c:numCache>
                <c:formatCode>0</c:formatCode>
                <c:ptCount val="9"/>
                <c:pt idx="0">
                  <c:v>166.6</c:v>
                </c:pt>
                <c:pt idx="1">
                  <c:v>164.15</c:v>
                </c:pt>
                <c:pt idx="2">
                  <c:v>156.79999999999998</c:v>
                </c:pt>
                <c:pt idx="3">
                  <c:v>151.9</c:v>
                </c:pt>
                <c:pt idx="4">
                  <c:v>142.1</c:v>
                </c:pt>
                <c:pt idx="5">
                  <c:v>129.85</c:v>
                </c:pt>
                <c:pt idx="6">
                  <c:v>117.6</c:v>
                </c:pt>
                <c:pt idx="7">
                  <c:v>98</c:v>
                </c:pt>
                <c:pt idx="8">
                  <c:v>73.5</c:v>
                </c:pt>
              </c:numCache>
            </c:numRef>
          </c:yVal>
          <c:smooth val="1"/>
        </c:ser>
        <c:ser>
          <c:idx val="5"/>
          <c:order val="6"/>
          <c:tx>
            <c:v>Proposed</c:v>
          </c:tx>
          <c:xVal>
            <c:numRef>
              <c:f>'System Curve Calc'!$G$33:$G$43</c:f>
              <c:numCache>
                <c:formatCode>_(* #,##0_);_(* \(#,##0\);_(* "-"??_);_(@_)</c:formatCode>
                <c:ptCount val="11"/>
                <c:pt idx="0" formatCode="General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</c:numCache>
            </c:numRef>
          </c:xVal>
          <c:yVal>
            <c:numRef>
              <c:f>'System Curve Calc'!$V$33:$V$43</c:f>
              <c:numCache>
                <c:formatCode>0</c:formatCode>
                <c:ptCount val="11"/>
                <c:pt idx="0">
                  <c:v>126.86799999999999</c:v>
                </c:pt>
                <c:pt idx="1">
                  <c:v>129.535</c:v>
                </c:pt>
                <c:pt idx="2">
                  <c:v>136.48399999999998</c:v>
                </c:pt>
                <c:pt idx="3">
                  <c:v>147.226</c:v>
                </c:pt>
                <c:pt idx="4">
                  <c:v>161.52999999999997</c:v>
                </c:pt>
                <c:pt idx="5">
                  <c:v>179.245</c:v>
                </c:pt>
                <c:pt idx="6">
                  <c:v>200.25700000000001</c:v>
                </c:pt>
                <c:pt idx="7">
                  <c:v>224.476</c:v>
                </c:pt>
                <c:pt idx="8">
                  <c:v>251.827</c:v>
                </c:pt>
                <c:pt idx="9">
                  <c:v>282.27599999999995</c:v>
                </c:pt>
                <c:pt idx="10">
                  <c:v>315.71600000000001</c:v>
                </c:pt>
              </c:numCache>
            </c:numRef>
          </c:yVal>
          <c:smooth val="1"/>
        </c:ser>
        <c:ser>
          <c:idx val="4"/>
          <c:order val="7"/>
          <c:tx>
            <c:strRef>
              <c:f>'two pumps worksheet'!$A$14</c:f>
              <c:strCache>
                <c:ptCount val="1"/>
                <c:pt idx="0">
                  <c:v>95</c:v>
                </c:pt>
              </c:strCache>
            </c:strRef>
          </c:tx>
          <c:xVal>
            <c:numRef>
              <c:f>'two pumps worksheet'!$C$15:$C$23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3040</c:v>
                </c:pt>
                <c:pt idx="2">
                  <c:v>6080</c:v>
                </c:pt>
                <c:pt idx="3">
                  <c:v>9120</c:v>
                </c:pt>
                <c:pt idx="4">
                  <c:v>12160</c:v>
                </c:pt>
                <c:pt idx="5">
                  <c:v>15200</c:v>
                </c:pt>
                <c:pt idx="6">
                  <c:v>18240</c:v>
                </c:pt>
                <c:pt idx="7">
                  <c:v>21280</c:v>
                </c:pt>
                <c:pt idx="8">
                  <c:v>24320</c:v>
                </c:pt>
              </c:numCache>
            </c:numRef>
          </c:xVal>
          <c:yVal>
            <c:numRef>
              <c:f>'two pumps worksheet'!$A$15:$A$23</c:f>
              <c:numCache>
                <c:formatCode>0</c:formatCode>
                <c:ptCount val="9"/>
                <c:pt idx="0">
                  <c:v>306.85000000000002</c:v>
                </c:pt>
                <c:pt idx="1">
                  <c:v>302.33750000000003</c:v>
                </c:pt>
                <c:pt idx="2">
                  <c:v>288.8</c:v>
                </c:pt>
                <c:pt idx="3">
                  <c:v>279.77500000000003</c:v>
                </c:pt>
                <c:pt idx="4">
                  <c:v>261.72500000000002</c:v>
                </c:pt>
                <c:pt idx="5">
                  <c:v>239.16250000000002</c:v>
                </c:pt>
                <c:pt idx="6">
                  <c:v>216.60000000000002</c:v>
                </c:pt>
                <c:pt idx="7">
                  <c:v>180.50000000000003</c:v>
                </c:pt>
                <c:pt idx="8">
                  <c:v>135.37500000000003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787008"/>
        <c:axId val="127788928"/>
      </c:scatterChart>
      <c:valAx>
        <c:axId val="127787008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Gallons per Minute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127788928"/>
        <c:crosses val="autoZero"/>
        <c:crossBetween val="midCat"/>
      </c:valAx>
      <c:valAx>
        <c:axId val="12778892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Feet of Water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77870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Perry Rd Pump Curves at Varied Speeds (THREE PUMPS RUNNING) with </a:t>
            </a:r>
            <a:br>
              <a:rPr lang="en-US"/>
            </a:br>
            <a:r>
              <a:rPr lang="en-US"/>
              <a:t>System Curve Information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934152985368032E-2"/>
          <c:y val="0.1192980195657361"/>
          <c:w val="0.77421403088509644"/>
          <c:h val="0.7771531058617672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'3 pump work sheet'!$A$2</c:f>
              <c:strCache>
                <c:ptCount val="1"/>
                <c:pt idx="0">
                  <c:v>100</c:v>
                </c:pt>
              </c:strCache>
            </c:strRef>
          </c:tx>
          <c:xVal>
            <c:numRef>
              <c:f>'3 pump work sheet'!$C$4:$C$12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4800</c:v>
                </c:pt>
                <c:pt idx="2">
                  <c:v>9600</c:v>
                </c:pt>
                <c:pt idx="3">
                  <c:v>14400</c:v>
                </c:pt>
                <c:pt idx="4">
                  <c:v>19200</c:v>
                </c:pt>
                <c:pt idx="5">
                  <c:v>24000</c:v>
                </c:pt>
                <c:pt idx="6">
                  <c:v>28800</c:v>
                </c:pt>
                <c:pt idx="7">
                  <c:v>33600</c:v>
                </c:pt>
                <c:pt idx="8">
                  <c:v>38400</c:v>
                </c:pt>
              </c:numCache>
            </c:numRef>
          </c:xVal>
          <c:yVal>
            <c:numRef>
              <c:f>'3 pump work sheet'!$A$4:$A$12</c:f>
              <c:numCache>
                <c:formatCode>General</c:formatCode>
                <c:ptCount val="9"/>
                <c:pt idx="0">
                  <c:v>340</c:v>
                </c:pt>
                <c:pt idx="1">
                  <c:v>335</c:v>
                </c:pt>
                <c:pt idx="2">
                  <c:v>320</c:v>
                </c:pt>
                <c:pt idx="3">
                  <c:v>310</c:v>
                </c:pt>
                <c:pt idx="4">
                  <c:v>290</c:v>
                </c:pt>
                <c:pt idx="5">
                  <c:v>265</c:v>
                </c:pt>
                <c:pt idx="6">
                  <c:v>240</c:v>
                </c:pt>
                <c:pt idx="7">
                  <c:v>200</c:v>
                </c:pt>
                <c:pt idx="8">
                  <c:v>150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'3 pump work sheet'!$A$15</c:f>
              <c:strCache>
                <c:ptCount val="1"/>
                <c:pt idx="0">
                  <c:v>90</c:v>
                </c:pt>
              </c:strCache>
            </c:strRef>
          </c:tx>
          <c:xVal>
            <c:numRef>
              <c:f>'3 pump work sheet'!$C$16:$C$24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4320</c:v>
                </c:pt>
                <c:pt idx="2">
                  <c:v>8640</c:v>
                </c:pt>
                <c:pt idx="3">
                  <c:v>12960</c:v>
                </c:pt>
                <c:pt idx="4">
                  <c:v>17280</c:v>
                </c:pt>
                <c:pt idx="5">
                  <c:v>21600</c:v>
                </c:pt>
                <c:pt idx="6">
                  <c:v>25920</c:v>
                </c:pt>
                <c:pt idx="7">
                  <c:v>30240</c:v>
                </c:pt>
                <c:pt idx="8">
                  <c:v>34560</c:v>
                </c:pt>
              </c:numCache>
            </c:numRef>
          </c:xVal>
          <c:yVal>
            <c:numRef>
              <c:f>'two pumps worksheet'!$A$26:$A$34</c:f>
              <c:numCache>
                <c:formatCode>0</c:formatCode>
                <c:ptCount val="9"/>
                <c:pt idx="0">
                  <c:v>275.39999999999998</c:v>
                </c:pt>
                <c:pt idx="1">
                  <c:v>271.34999999999997</c:v>
                </c:pt>
                <c:pt idx="2">
                  <c:v>259.2</c:v>
                </c:pt>
                <c:pt idx="3">
                  <c:v>251.09999999999997</c:v>
                </c:pt>
                <c:pt idx="4">
                  <c:v>234.89999999999998</c:v>
                </c:pt>
                <c:pt idx="5">
                  <c:v>214.64999999999998</c:v>
                </c:pt>
                <c:pt idx="6">
                  <c:v>194.39999999999998</c:v>
                </c:pt>
                <c:pt idx="7">
                  <c:v>161.99999999999997</c:v>
                </c:pt>
                <c:pt idx="8">
                  <c:v>121.49999999999999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'3 pump work sheet'!$A$27</c:f>
              <c:strCache>
                <c:ptCount val="1"/>
                <c:pt idx="0">
                  <c:v>85</c:v>
                </c:pt>
              </c:strCache>
            </c:strRef>
          </c:tx>
          <c:xVal>
            <c:numRef>
              <c:f>'3 pump work sheet'!$C$28:$C$36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4080</c:v>
                </c:pt>
                <c:pt idx="2">
                  <c:v>8160</c:v>
                </c:pt>
                <c:pt idx="3">
                  <c:v>12240</c:v>
                </c:pt>
                <c:pt idx="4">
                  <c:v>16320</c:v>
                </c:pt>
                <c:pt idx="5">
                  <c:v>20400</c:v>
                </c:pt>
                <c:pt idx="6">
                  <c:v>24480</c:v>
                </c:pt>
                <c:pt idx="7">
                  <c:v>28560</c:v>
                </c:pt>
                <c:pt idx="8">
                  <c:v>32640</c:v>
                </c:pt>
              </c:numCache>
            </c:numRef>
          </c:xVal>
          <c:yVal>
            <c:numRef>
              <c:f>'two pumps worksheet'!$A$38:$A$46</c:f>
              <c:numCache>
                <c:formatCode>0</c:formatCode>
                <c:ptCount val="9"/>
                <c:pt idx="0">
                  <c:v>245.64999999999998</c:v>
                </c:pt>
                <c:pt idx="1">
                  <c:v>242.03749999999999</c:v>
                </c:pt>
                <c:pt idx="2">
                  <c:v>231.2</c:v>
                </c:pt>
                <c:pt idx="3">
                  <c:v>223.97499999999999</c:v>
                </c:pt>
                <c:pt idx="4">
                  <c:v>209.52499999999998</c:v>
                </c:pt>
                <c:pt idx="5">
                  <c:v>191.46249999999998</c:v>
                </c:pt>
                <c:pt idx="6">
                  <c:v>173.39999999999998</c:v>
                </c:pt>
                <c:pt idx="7">
                  <c:v>144.5</c:v>
                </c:pt>
                <c:pt idx="8">
                  <c:v>108.37499999999999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'3 pump work sheet'!$A$39</c:f>
              <c:strCache>
                <c:ptCount val="1"/>
                <c:pt idx="0">
                  <c:v>80</c:v>
                </c:pt>
              </c:strCache>
            </c:strRef>
          </c:tx>
          <c:xVal>
            <c:numRef>
              <c:f>'3 pump work sheet'!$C$40:$C$48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3840</c:v>
                </c:pt>
                <c:pt idx="2">
                  <c:v>7680</c:v>
                </c:pt>
                <c:pt idx="3">
                  <c:v>11520</c:v>
                </c:pt>
                <c:pt idx="4">
                  <c:v>15360</c:v>
                </c:pt>
                <c:pt idx="5">
                  <c:v>19200</c:v>
                </c:pt>
                <c:pt idx="6">
                  <c:v>23040</c:v>
                </c:pt>
                <c:pt idx="7">
                  <c:v>26880</c:v>
                </c:pt>
                <c:pt idx="8">
                  <c:v>30720</c:v>
                </c:pt>
              </c:numCache>
            </c:numRef>
          </c:xVal>
          <c:yVal>
            <c:numRef>
              <c:f>'two pumps worksheet'!$A$50:$A$58</c:f>
              <c:numCache>
                <c:formatCode>0</c:formatCode>
                <c:ptCount val="9"/>
                <c:pt idx="0">
                  <c:v>217.6</c:v>
                </c:pt>
                <c:pt idx="1">
                  <c:v>214.4</c:v>
                </c:pt>
                <c:pt idx="2">
                  <c:v>204.8</c:v>
                </c:pt>
                <c:pt idx="3">
                  <c:v>198.4</c:v>
                </c:pt>
                <c:pt idx="4">
                  <c:v>185.6</c:v>
                </c:pt>
                <c:pt idx="5">
                  <c:v>169.6</c:v>
                </c:pt>
                <c:pt idx="6">
                  <c:v>153.6</c:v>
                </c:pt>
                <c:pt idx="7">
                  <c:v>128</c:v>
                </c:pt>
                <c:pt idx="8">
                  <c:v>96</c:v>
                </c:pt>
              </c:numCache>
            </c:numRef>
          </c:yVal>
          <c:smooth val="1"/>
        </c:ser>
        <c:ser>
          <c:idx val="6"/>
          <c:order val="4"/>
          <c:tx>
            <c:strRef>
              <c:f>'3 pump work sheet'!$A$51</c:f>
              <c:strCache>
                <c:ptCount val="1"/>
                <c:pt idx="0">
                  <c:v>75</c:v>
                </c:pt>
              </c:strCache>
            </c:strRef>
          </c:tx>
          <c:xVal>
            <c:numRef>
              <c:f>'3 pump work sheet'!$C$52:$C$60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3600</c:v>
                </c:pt>
                <c:pt idx="2">
                  <c:v>7200</c:v>
                </c:pt>
                <c:pt idx="3">
                  <c:v>10800</c:v>
                </c:pt>
                <c:pt idx="4">
                  <c:v>14400</c:v>
                </c:pt>
                <c:pt idx="5">
                  <c:v>18000</c:v>
                </c:pt>
                <c:pt idx="6">
                  <c:v>21600</c:v>
                </c:pt>
                <c:pt idx="7">
                  <c:v>25200</c:v>
                </c:pt>
                <c:pt idx="8">
                  <c:v>28800</c:v>
                </c:pt>
              </c:numCache>
            </c:numRef>
          </c:xVal>
          <c:yVal>
            <c:numRef>
              <c:f>'two pumps worksheet'!$A$62:$A$70</c:f>
              <c:numCache>
                <c:formatCode>0</c:formatCode>
                <c:ptCount val="9"/>
                <c:pt idx="0">
                  <c:v>191.25</c:v>
                </c:pt>
                <c:pt idx="1">
                  <c:v>188.4375</c:v>
                </c:pt>
                <c:pt idx="2">
                  <c:v>180</c:v>
                </c:pt>
                <c:pt idx="3">
                  <c:v>174.375</c:v>
                </c:pt>
                <c:pt idx="4">
                  <c:v>163.125</c:v>
                </c:pt>
                <c:pt idx="5">
                  <c:v>149.0625</c:v>
                </c:pt>
                <c:pt idx="6">
                  <c:v>135</c:v>
                </c:pt>
                <c:pt idx="7">
                  <c:v>112.5</c:v>
                </c:pt>
                <c:pt idx="8">
                  <c:v>84.375</c:v>
                </c:pt>
              </c:numCache>
            </c:numRef>
          </c:yVal>
          <c:smooth val="1"/>
        </c:ser>
        <c:ser>
          <c:idx val="7"/>
          <c:order val="5"/>
          <c:tx>
            <c:strRef>
              <c:f>'3 pump work sheet'!$A$63</c:f>
              <c:strCache>
                <c:ptCount val="1"/>
                <c:pt idx="0">
                  <c:v>70</c:v>
                </c:pt>
              </c:strCache>
            </c:strRef>
          </c:tx>
          <c:xVal>
            <c:numRef>
              <c:f>'3 pump work sheet'!$C$64:$C$72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3360</c:v>
                </c:pt>
                <c:pt idx="2">
                  <c:v>6720</c:v>
                </c:pt>
                <c:pt idx="3">
                  <c:v>10080</c:v>
                </c:pt>
                <c:pt idx="4">
                  <c:v>13440</c:v>
                </c:pt>
                <c:pt idx="5">
                  <c:v>16800</c:v>
                </c:pt>
                <c:pt idx="6">
                  <c:v>20160</c:v>
                </c:pt>
                <c:pt idx="7">
                  <c:v>23520</c:v>
                </c:pt>
                <c:pt idx="8">
                  <c:v>26880</c:v>
                </c:pt>
              </c:numCache>
            </c:numRef>
          </c:xVal>
          <c:yVal>
            <c:numRef>
              <c:f>'two pumps worksheet'!$A$74:$A$82</c:f>
              <c:numCache>
                <c:formatCode>0</c:formatCode>
                <c:ptCount val="9"/>
                <c:pt idx="0">
                  <c:v>166.6</c:v>
                </c:pt>
                <c:pt idx="1">
                  <c:v>164.15</c:v>
                </c:pt>
                <c:pt idx="2">
                  <c:v>156.79999999999998</c:v>
                </c:pt>
                <c:pt idx="3">
                  <c:v>151.9</c:v>
                </c:pt>
                <c:pt idx="4">
                  <c:v>142.1</c:v>
                </c:pt>
                <c:pt idx="5">
                  <c:v>129.85</c:v>
                </c:pt>
                <c:pt idx="6">
                  <c:v>117.6</c:v>
                </c:pt>
                <c:pt idx="7">
                  <c:v>98</c:v>
                </c:pt>
                <c:pt idx="8">
                  <c:v>73.5</c:v>
                </c:pt>
              </c:numCache>
            </c:numRef>
          </c:yVal>
          <c:smooth val="1"/>
        </c:ser>
        <c:ser>
          <c:idx val="5"/>
          <c:order val="6"/>
          <c:tx>
            <c:v>Proposed</c:v>
          </c:tx>
          <c:xVal>
            <c:numRef>
              <c:f>'System Curve Calc'!$G$33:$G$43</c:f>
              <c:numCache>
                <c:formatCode>_(* #,##0_);_(* \(#,##0\);_(* "-"??_);_(@_)</c:formatCode>
                <c:ptCount val="11"/>
                <c:pt idx="0" formatCode="General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</c:numCache>
            </c:numRef>
          </c:xVal>
          <c:yVal>
            <c:numRef>
              <c:f>'System Curve Calc'!$V$33:$V$43</c:f>
              <c:numCache>
                <c:formatCode>0</c:formatCode>
                <c:ptCount val="11"/>
                <c:pt idx="0">
                  <c:v>126.86799999999999</c:v>
                </c:pt>
                <c:pt idx="1">
                  <c:v>129.535</c:v>
                </c:pt>
                <c:pt idx="2">
                  <c:v>136.48399999999998</c:v>
                </c:pt>
                <c:pt idx="3">
                  <c:v>147.226</c:v>
                </c:pt>
                <c:pt idx="4">
                  <c:v>161.52999999999997</c:v>
                </c:pt>
                <c:pt idx="5">
                  <c:v>179.245</c:v>
                </c:pt>
                <c:pt idx="6">
                  <c:v>200.25700000000001</c:v>
                </c:pt>
                <c:pt idx="7">
                  <c:v>224.476</c:v>
                </c:pt>
                <c:pt idx="8">
                  <c:v>251.827</c:v>
                </c:pt>
                <c:pt idx="9">
                  <c:v>282.27599999999995</c:v>
                </c:pt>
                <c:pt idx="10">
                  <c:v>315.71600000000001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472384"/>
        <c:axId val="129478656"/>
      </c:scatterChart>
      <c:valAx>
        <c:axId val="129472384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Gallons per Minute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129478656"/>
        <c:crosses val="autoZero"/>
        <c:crossBetween val="midCat"/>
      </c:valAx>
      <c:valAx>
        <c:axId val="12947865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Feet of Water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94723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3" workbookViewId="0"/>
  </sheetViews>
  <pageMargins left="0.25" right="0.25" top="0.25" bottom="0.5" header="0" footer="0.3"/>
  <pageSetup orientation="landscape" r:id="rId1"/>
  <headerFooter>
    <oddFooter>&amp;L&amp;Z&amp;F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30" workbookViewId="0"/>
  </sheetViews>
  <pageMargins left="0.7" right="0.7" top="0.75" bottom="0.75" header="0.3" footer="0.3"/>
  <pageSetup orientation="landscape" r:id="rId1"/>
  <headerFooter>
    <oddFooter>&amp;L&amp;Z&amp;F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152400</xdr:colOff>
      <xdr:row>8</xdr:row>
      <xdr:rowOff>14287</xdr:rowOff>
    </xdr:from>
    <xdr:to>
      <xdr:col>27</xdr:col>
      <xdr:colOff>457200</xdr:colOff>
      <xdr:row>22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9525</xdr:colOff>
      <xdr:row>27</xdr:row>
      <xdr:rowOff>161925</xdr:rowOff>
    </xdr:from>
    <xdr:to>
      <xdr:col>33</xdr:col>
      <xdr:colOff>314325</xdr:colOff>
      <xdr:row>42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352425</xdr:colOff>
      <xdr:row>49</xdr:row>
      <xdr:rowOff>57150</xdr:rowOff>
    </xdr:from>
    <xdr:to>
      <xdr:col>26</xdr:col>
      <xdr:colOff>561975</xdr:colOff>
      <xdr:row>83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3</xdr:row>
      <xdr:rowOff>123825</xdr:rowOff>
    </xdr:from>
    <xdr:to>
      <xdr:col>20</xdr:col>
      <xdr:colOff>257175</xdr:colOff>
      <xdr:row>28</xdr:row>
      <xdr:rowOff>90487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91283" cy="69709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4362450" y="476250"/>
    <xdr:ext cx="8660423" cy="62865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V71"/>
  <sheetViews>
    <sheetView zoomScaleNormal="100" workbookViewId="0">
      <selection activeCell="G35" sqref="G35"/>
    </sheetView>
  </sheetViews>
  <sheetFormatPr defaultRowHeight="15" x14ac:dyDescent="0.25"/>
  <cols>
    <col min="4" max="4" width="10.7109375" bestFit="1" customWidth="1"/>
    <col min="5" max="5" width="15.7109375" customWidth="1"/>
    <col min="6" max="7" width="10.5703125" bestFit="1" customWidth="1"/>
    <col min="13" max="13" width="9.5703125" bestFit="1" customWidth="1"/>
    <col min="16" max="16" width="9.5703125" bestFit="1" customWidth="1"/>
  </cols>
  <sheetData>
    <row r="2" spans="5:16" x14ac:dyDescent="0.25">
      <c r="E2" s="1" t="s">
        <v>20</v>
      </c>
      <c r="F2" s="5">
        <v>43</v>
      </c>
      <c r="G2" t="s">
        <v>5</v>
      </c>
    </row>
    <row r="3" spans="5:16" x14ac:dyDescent="0.25">
      <c r="E3" s="1" t="s">
        <v>21</v>
      </c>
      <c r="F3" s="27">
        <f>21.4/2.31-3</f>
        <v>6.2640692640692635</v>
      </c>
      <c r="G3" t="s">
        <v>27</v>
      </c>
      <c r="H3" t="s">
        <v>28</v>
      </c>
      <c r="L3" s="22"/>
      <c r="M3" t="s">
        <v>29</v>
      </c>
    </row>
    <row r="4" spans="5:16" x14ac:dyDescent="0.25">
      <c r="E4" s="1" t="s">
        <v>22</v>
      </c>
      <c r="F4" s="17">
        <v>2000</v>
      </c>
      <c r="G4" t="s">
        <v>5</v>
      </c>
      <c r="H4" s="5">
        <v>140</v>
      </c>
      <c r="L4" s="23"/>
      <c r="M4" t="s">
        <v>30</v>
      </c>
    </row>
    <row r="5" spans="5:16" x14ac:dyDescent="0.25">
      <c r="E5" s="16" t="s">
        <v>23</v>
      </c>
      <c r="F5" s="17">
        <v>30100</v>
      </c>
      <c r="G5" t="s">
        <v>5</v>
      </c>
      <c r="H5" s="5">
        <v>140</v>
      </c>
    </row>
    <row r="6" spans="5:16" x14ac:dyDescent="0.25">
      <c r="E6" s="16" t="s">
        <v>24</v>
      </c>
      <c r="F6" s="17">
        <v>30500</v>
      </c>
      <c r="G6" t="s">
        <v>5</v>
      </c>
      <c r="H6" s="5">
        <v>140</v>
      </c>
    </row>
    <row r="7" spans="5:16" x14ac:dyDescent="0.25">
      <c r="E7" s="1" t="s">
        <v>25</v>
      </c>
      <c r="F7" s="5">
        <v>46</v>
      </c>
      <c r="G7" t="s">
        <v>5</v>
      </c>
      <c r="M7" s="1"/>
    </row>
    <row r="8" spans="5:16" x14ac:dyDescent="0.25">
      <c r="E8" s="1" t="s">
        <v>26</v>
      </c>
      <c r="F8" s="27">
        <f>(0.601*(186.5-148.5)+148.5-33)/2.31</f>
        <v>59.886580086580082</v>
      </c>
      <c r="G8" t="s">
        <v>27</v>
      </c>
      <c r="M8" s="1"/>
    </row>
    <row r="12" spans="5:16" x14ac:dyDescent="0.25">
      <c r="G12" s="48" t="s">
        <v>8</v>
      </c>
      <c r="H12" s="48" t="s">
        <v>6</v>
      </c>
      <c r="I12" s="48"/>
      <c r="J12" s="48"/>
      <c r="K12" s="49" t="s">
        <v>10</v>
      </c>
      <c r="L12" s="49"/>
      <c r="M12" s="49"/>
      <c r="N12" s="49"/>
      <c r="O12" s="49"/>
      <c r="P12" s="48" t="s">
        <v>12</v>
      </c>
    </row>
    <row r="13" spans="5:16" x14ac:dyDescent="0.25">
      <c r="G13" s="48"/>
      <c r="H13" s="48"/>
      <c r="I13" s="48"/>
      <c r="J13" s="48"/>
      <c r="K13" s="49" t="s">
        <v>1</v>
      </c>
      <c r="L13" s="49"/>
      <c r="M13" s="49" t="s">
        <v>0</v>
      </c>
      <c r="N13" s="49"/>
      <c r="O13" s="48" t="s">
        <v>7</v>
      </c>
      <c r="P13" s="48"/>
    </row>
    <row r="14" spans="5:16" x14ac:dyDescent="0.25">
      <c r="G14" s="48"/>
      <c r="H14" s="2" t="s">
        <v>3</v>
      </c>
      <c r="I14" s="2" t="s">
        <v>4</v>
      </c>
      <c r="J14" s="4" t="s">
        <v>7</v>
      </c>
      <c r="K14" s="3">
        <v>30</v>
      </c>
      <c r="L14" s="5">
        <f>H4</f>
        <v>140</v>
      </c>
      <c r="M14" s="3">
        <v>24</v>
      </c>
      <c r="N14" s="5">
        <f>H5</f>
        <v>140</v>
      </c>
      <c r="O14" s="48"/>
      <c r="P14" s="48"/>
    </row>
    <row r="15" spans="5:16" x14ac:dyDescent="0.25">
      <c r="G15" s="2" t="s">
        <v>9</v>
      </c>
      <c r="H15" s="2" t="s">
        <v>5</v>
      </c>
      <c r="I15" s="2" t="s">
        <v>5</v>
      </c>
      <c r="J15" s="4" t="s">
        <v>5</v>
      </c>
      <c r="K15" s="6" t="s">
        <v>11</v>
      </c>
      <c r="L15" s="6" t="s">
        <v>5</v>
      </c>
      <c r="M15" s="6" t="s">
        <v>11</v>
      </c>
      <c r="N15" s="6" t="s">
        <v>5</v>
      </c>
      <c r="O15" s="2" t="s">
        <v>5</v>
      </c>
      <c r="P15" s="6" t="s">
        <v>5</v>
      </c>
    </row>
    <row r="16" spans="5:16" x14ac:dyDescent="0.25">
      <c r="G16" s="3">
        <v>0</v>
      </c>
      <c r="H16" s="7">
        <f t="shared" ref="H16:H22" si="0">($F$8-$F$3)*2.31</f>
        <v>123.86799999999999</v>
      </c>
      <c r="I16" s="3">
        <f t="shared" ref="I16:I22" si="1">$F$7-$F$2</f>
        <v>3</v>
      </c>
      <c r="J16" s="8">
        <f>H16+I16</f>
        <v>126.86799999999999</v>
      </c>
      <c r="K16" s="3">
        <f>ROUND(($G16/(7.48*60))/((PI()*0.25)*((K$14/12)^2)),3)</f>
        <v>0</v>
      </c>
      <c r="L16" s="3">
        <f>ROUND((3.022*(K16^1.85)*$F$4)/(($L$14^1.85)*(($K$14/12)^1.17)),3)</f>
        <v>0</v>
      </c>
      <c r="M16" s="3">
        <f t="shared" ref="M16:M22" si="2">ROUND(($G16/(7.48*60))/((PI()*0.25)*((M$14/12)^2)),3)</f>
        <v>0</v>
      </c>
      <c r="N16" s="3">
        <f t="shared" ref="N16:N22" si="3">ROUND((3.022*(M16^1.85)*$F$5)/(($N$14^1.85)*(($M$14/12)^1.17)),3)</f>
        <v>0</v>
      </c>
      <c r="O16" s="3">
        <f>L16+N16</f>
        <v>0</v>
      </c>
      <c r="P16" s="7">
        <f>O16+J16</f>
        <v>126.86799999999999</v>
      </c>
    </row>
    <row r="17" spans="4:22" x14ac:dyDescent="0.25">
      <c r="G17" s="18">
        <v>2000</v>
      </c>
      <c r="H17" s="7">
        <f t="shared" si="0"/>
        <v>123.86799999999999</v>
      </c>
      <c r="I17" s="3">
        <f t="shared" si="1"/>
        <v>3</v>
      </c>
      <c r="J17" s="8">
        <f t="shared" ref="J17:J22" si="4">H17+I17</f>
        <v>126.86799999999999</v>
      </c>
      <c r="K17" s="3">
        <f t="shared" ref="K17:K21" si="5">ROUND(($G17/(7.48*60))/((PI()*0.25)*((K$14/12)^2)),3)</f>
        <v>0.90800000000000003</v>
      </c>
      <c r="L17" s="3">
        <f t="shared" ref="L17:L22" si="6">ROUND((3.022*(K17^1.85)*$F$4)/(($L$14^1.85)*(($K$14/12)^1.17)),3)</f>
        <v>0.185</v>
      </c>
      <c r="M17" s="3">
        <f t="shared" si="2"/>
        <v>1.4179999999999999</v>
      </c>
      <c r="N17" s="7">
        <f t="shared" si="3"/>
        <v>8.2590000000000003</v>
      </c>
      <c r="O17" s="7">
        <f t="shared" ref="O17:O22" si="7">L17+N17</f>
        <v>8.4440000000000008</v>
      </c>
      <c r="P17" s="7">
        <f t="shared" ref="P17:P22" si="8">O17+J17</f>
        <v>135.31199999999998</v>
      </c>
    </row>
    <row r="18" spans="4:22" x14ac:dyDescent="0.25">
      <c r="G18" s="18">
        <v>4000</v>
      </c>
      <c r="H18" s="7">
        <f t="shared" si="0"/>
        <v>123.86799999999999</v>
      </c>
      <c r="I18" s="3">
        <f t="shared" si="1"/>
        <v>3</v>
      </c>
      <c r="J18" s="8">
        <f t="shared" si="4"/>
        <v>126.86799999999999</v>
      </c>
      <c r="K18" s="3">
        <f t="shared" si="5"/>
        <v>1.8160000000000001</v>
      </c>
      <c r="L18" s="3">
        <f t="shared" si="6"/>
        <v>0.66800000000000004</v>
      </c>
      <c r="M18" s="3">
        <f t="shared" si="2"/>
        <v>2.8370000000000002</v>
      </c>
      <c r="N18" s="7">
        <f t="shared" si="3"/>
        <v>29.792999999999999</v>
      </c>
      <c r="O18" s="7">
        <f t="shared" si="7"/>
        <v>30.460999999999999</v>
      </c>
      <c r="P18" s="7">
        <f t="shared" si="8"/>
        <v>157.32900000000001</v>
      </c>
    </row>
    <row r="19" spans="4:22" x14ac:dyDescent="0.25">
      <c r="G19" s="18">
        <v>6000</v>
      </c>
      <c r="H19" s="7">
        <f t="shared" si="0"/>
        <v>123.86799999999999</v>
      </c>
      <c r="I19" s="3">
        <f t="shared" si="1"/>
        <v>3</v>
      </c>
      <c r="J19" s="8">
        <f t="shared" si="4"/>
        <v>126.86799999999999</v>
      </c>
      <c r="K19" s="3">
        <f t="shared" si="5"/>
        <v>2.7240000000000002</v>
      </c>
      <c r="L19" s="3">
        <f t="shared" si="6"/>
        <v>1.4139999999999999</v>
      </c>
      <c r="M19" s="3">
        <f t="shared" si="2"/>
        <v>4.2549999999999999</v>
      </c>
      <c r="N19" s="7">
        <f t="shared" si="3"/>
        <v>63.064</v>
      </c>
      <c r="O19" s="7">
        <f t="shared" si="7"/>
        <v>64.477999999999994</v>
      </c>
      <c r="P19" s="7">
        <f t="shared" si="8"/>
        <v>191.346</v>
      </c>
    </row>
    <row r="20" spans="4:22" x14ac:dyDescent="0.25">
      <c r="G20" s="18">
        <v>8000</v>
      </c>
      <c r="H20" s="7">
        <f t="shared" si="0"/>
        <v>123.86799999999999</v>
      </c>
      <c r="I20" s="3">
        <f t="shared" si="1"/>
        <v>3</v>
      </c>
      <c r="J20" s="8">
        <f t="shared" si="4"/>
        <v>126.86799999999999</v>
      </c>
      <c r="K20" s="3">
        <f t="shared" si="5"/>
        <v>3.6309999999999998</v>
      </c>
      <c r="L20" s="3">
        <f t="shared" si="6"/>
        <v>2.407</v>
      </c>
      <c r="M20" s="3">
        <f t="shared" si="2"/>
        <v>5.6740000000000004</v>
      </c>
      <c r="N20" s="7">
        <f t="shared" si="3"/>
        <v>107.402</v>
      </c>
      <c r="O20" s="7">
        <f t="shared" si="7"/>
        <v>109.809</v>
      </c>
      <c r="P20" s="7">
        <f t="shared" si="8"/>
        <v>236.67699999999999</v>
      </c>
    </row>
    <row r="21" spans="4:22" x14ac:dyDescent="0.25">
      <c r="G21" s="18">
        <v>10000</v>
      </c>
      <c r="H21" s="7">
        <f t="shared" si="0"/>
        <v>123.86799999999999</v>
      </c>
      <c r="I21" s="3">
        <f t="shared" si="1"/>
        <v>3</v>
      </c>
      <c r="J21" s="8">
        <f t="shared" si="4"/>
        <v>126.86799999999999</v>
      </c>
      <c r="K21" s="3">
        <f t="shared" si="5"/>
        <v>4.5389999999999997</v>
      </c>
      <c r="L21" s="3">
        <f t="shared" si="6"/>
        <v>3.637</v>
      </c>
      <c r="M21" s="3">
        <f t="shared" si="2"/>
        <v>7.0919999999999996</v>
      </c>
      <c r="N21" s="7">
        <f t="shared" si="3"/>
        <v>162.27099999999999</v>
      </c>
      <c r="O21" s="7">
        <f t="shared" si="7"/>
        <v>165.90799999999999</v>
      </c>
      <c r="P21" s="7">
        <f t="shared" si="8"/>
        <v>292.77599999999995</v>
      </c>
    </row>
    <row r="22" spans="4:22" x14ac:dyDescent="0.25">
      <c r="G22" s="18">
        <v>12000</v>
      </c>
      <c r="H22" s="7">
        <f t="shared" si="0"/>
        <v>123.86799999999999</v>
      </c>
      <c r="I22" s="3">
        <f t="shared" si="1"/>
        <v>3</v>
      </c>
      <c r="J22" s="8">
        <f t="shared" si="4"/>
        <v>126.86799999999999</v>
      </c>
      <c r="K22" s="3">
        <f>ROUND(($G22/(7.48*60))/((PI()*0.25)*((K$14/12)^2)),3)</f>
        <v>5.4470000000000001</v>
      </c>
      <c r="L22" s="3">
        <f t="shared" si="6"/>
        <v>5.0970000000000004</v>
      </c>
      <c r="M22" s="3">
        <f t="shared" si="2"/>
        <v>8.5109999999999992</v>
      </c>
      <c r="N22" s="7">
        <f t="shared" si="3"/>
        <v>227.39599999999999</v>
      </c>
      <c r="O22" s="7">
        <f t="shared" si="7"/>
        <v>232.49299999999999</v>
      </c>
      <c r="P22" s="7">
        <f t="shared" si="8"/>
        <v>359.36099999999999</v>
      </c>
    </row>
    <row r="28" spans="4:22" x14ac:dyDescent="0.25">
      <c r="D28" s="21"/>
      <c r="E28" s="21"/>
    </row>
    <row r="29" spans="4:22" x14ac:dyDescent="0.25">
      <c r="G29" s="48" t="s">
        <v>8</v>
      </c>
      <c r="H29" s="48" t="s">
        <v>6</v>
      </c>
      <c r="I29" s="48"/>
      <c r="J29" s="48"/>
      <c r="K29" s="49" t="s">
        <v>10</v>
      </c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8" t="s">
        <v>12</v>
      </c>
    </row>
    <row r="30" spans="4:22" x14ac:dyDescent="0.25">
      <c r="G30" s="48"/>
      <c r="H30" s="48"/>
      <c r="I30" s="48"/>
      <c r="J30" s="48"/>
      <c r="K30" s="49" t="s">
        <v>1</v>
      </c>
      <c r="L30" s="49"/>
      <c r="M30" s="49" t="s">
        <v>0</v>
      </c>
      <c r="N30" s="49"/>
      <c r="O30" s="49"/>
      <c r="P30" s="49" t="s">
        <v>2</v>
      </c>
      <c r="Q30" s="49"/>
      <c r="R30" s="49"/>
      <c r="S30" s="49" t="s">
        <v>16</v>
      </c>
      <c r="T30" s="49"/>
      <c r="U30" s="48" t="s">
        <v>7</v>
      </c>
      <c r="V30" s="48"/>
    </row>
    <row r="31" spans="4:22" x14ac:dyDescent="0.25">
      <c r="G31" s="48"/>
      <c r="H31" s="2" t="s">
        <v>3</v>
      </c>
      <c r="I31" s="2" t="s">
        <v>4</v>
      </c>
      <c r="J31" s="4" t="s">
        <v>7</v>
      </c>
      <c r="K31" s="3">
        <v>30</v>
      </c>
      <c r="L31" s="5">
        <f>H4</f>
        <v>140</v>
      </c>
      <c r="M31" s="6" t="s">
        <v>13</v>
      </c>
      <c r="N31" s="3">
        <v>24</v>
      </c>
      <c r="O31" s="5">
        <f>H5</f>
        <v>140</v>
      </c>
      <c r="P31" s="6" t="s">
        <v>13</v>
      </c>
      <c r="Q31" s="3">
        <v>30</v>
      </c>
      <c r="R31" s="5">
        <f>H6</f>
        <v>140</v>
      </c>
      <c r="S31" s="6" t="s">
        <v>15</v>
      </c>
      <c r="T31" s="6" t="s">
        <v>15</v>
      </c>
      <c r="U31" s="48"/>
      <c r="V31" s="48"/>
    </row>
    <row r="32" spans="4:22" x14ac:dyDescent="0.25">
      <c r="D32" s="21">
        <f>(24*24)/(24*24+30*30)</f>
        <v>0.3902439024390244</v>
      </c>
      <c r="E32" s="21">
        <f>(30*30)/(24*24+30*30)</f>
        <v>0.6097560975609756</v>
      </c>
      <c r="G32" s="2" t="s">
        <v>9</v>
      </c>
      <c r="H32" s="2" t="s">
        <v>5</v>
      </c>
      <c r="I32" s="2" t="s">
        <v>5</v>
      </c>
      <c r="J32" s="4" t="s">
        <v>5</v>
      </c>
      <c r="K32" s="6" t="s">
        <v>11</v>
      </c>
      <c r="L32" s="6" t="s">
        <v>5</v>
      </c>
      <c r="M32" s="6" t="s">
        <v>9</v>
      </c>
      <c r="N32" s="6" t="s">
        <v>11</v>
      </c>
      <c r="O32" s="6" t="s">
        <v>5</v>
      </c>
      <c r="P32" s="6" t="s">
        <v>9</v>
      </c>
      <c r="Q32" s="6" t="s">
        <v>11</v>
      </c>
      <c r="R32" s="6" t="s">
        <v>5</v>
      </c>
      <c r="S32" s="6" t="s">
        <v>14</v>
      </c>
      <c r="T32" s="6" t="s">
        <v>5</v>
      </c>
      <c r="U32" s="2" t="s">
        <v>5</v>
      </c>
      <c r="V32" s="6" t="s">
        <v>5</v>
      </c>
    </row>
    <row r="33" spans="3:22" x14ac:dyDescent="0.25">
      <c r="D33">
        <f>$D$32*G33</f>
        <v>0</v>
      </c>
      <c r="E33">
        <f>$E$32*G33</f>
        <v>0</v>
      </c>
      <c r="G33" s="3">
        <v>0</v>
      </c>
      <c r="H33" s="7">
        <f t="shared" ref="H33:H43" si="9">($F$8-$F$3)*2.31</f>
        <v>123.86799999999999</v>
      </c>
      <c r="I33" s="3">
        <f t="shared" ref="I33:I43" si="10">$F$7-$F$2</f>
        <v>3</v>
      </c>
      <c r="J33" s="8">
        <f>H33+I33</f>
        <v>126.86799999999999</v>
      </c>
      <c r="K33" s="3">
        <f>ROUND(($G33/(7.48*60))/((PI()*0.25)*((K$14/12)^2)),3)</f>
        <v>0</v>
      </c>
      <c r="L33" s="3">
        <f t="shared" ref="L33:L39" si="11">ROUND((3.022*(K33^1.85)*$F$4)/(($L$14^1.85)*(($K$14/12)^1.17)),3)</f>
        <v>0</v>
      </c>
      <c r="M33" s="3">
        <v>0</v>
      </c>
      <c r="N33" s="3">
        <f>ROUND(($M33/(7.48*60))/((PI()*0.25)*((N$31/12)^2)),3)</f>
        <v>0</v>
      </c>
      <c r="O33" s="3">
        <f t="shared" ref="O33:O39" si="12">ROUND((3.022*(N33^1.85)*$F$5)/(($O$31^1.85)*(($N$31/12)^1.17)),3)</f>
        <v>0</v>
      </c>
      <c r="P33" s="3">
        <v>0</v>
      </c>
      <c r="Q33" s="7">
        <f>ROUND(($P33/(7.48*60))/((PI()*0.25)*((Q$31/12)^2)),3)</f>
        <v>0</v>
      </c>
      <c r="R33" s="3">
        <f t="shared" ref="R33:R39" si="13">ROUND((3.022*(Q33^1.85)*$F$6)/(($R$31^1.85)*(($Q$31/12)^1.17)),3)</f>
        <v>0</v>
      </c>
      <c r="S33" s="3">
        <f t="shared" ref="S33:S38" si="14">ABS(M33+P33)-G33</f>
        <v>0</v>
      </c>
      <c r="T33" s="3">
        <f t="shared" ref="T33:T39" si="15">ABS(O33)-ABS(R33)</f>
        <v>0</v>
      </c>
      <c r="U33" s="3">
        <f>R33+O33+L33</f>
        <v>0</v>
      </c>
      <c r="V33" s="7">
        <f>U33+J33</f>
        <v>126.86799999999999</v>
      </c>
    </row>
    <row r="34" spans="3:22" x14ac:dyDescent="0.25">
      <c r="C34" s="21">
        <f>M34/G34</f>
        <v>0.35899999999999999</v>
      </c>
      <c r="D34" s="19">
        <f t="shared" ref="D34:D39" si="16">$D$32*G34</f>
        <v>780.48780487804879</v>
      </c>
      <c r="E34" s="19">
        <f t="shared" ref="E34:E39" si="17">$E$32*G34</f>
        <v>1219.5121951219512</v>
      </c>
      <c r="G34" s="18">
        <v>2000</v>
      </c>
      <c r="H34" s="7">
        <f t="shared" si="9"/>
        <v>123.86799999999999</v>
      </c>
      <c r="I34" s="3">
        <f t="shared" si="10"/>
        <v>3</v>
      </c>
      <c r="J34" s="8">
        <f t="shared" ref="J34:J43" si="18">H34+I34</f>
        <v>126.86799999999999</v>
      </c>
      <c r="K34" s="3">
        <f t="shared" ref="K34:K38" si="19">ROUND(($G34/(7.48*60))/((PI()*0.25)*((K$14/12)^2)),3)</f>
        <v>0.90800000000000003</v>
      </c>
      <c r="L34" s="3">
        <f t="shared" si="11"/>
        <v>0.185</v>
      </c>
      <c r="M34" s="20">
        <v>718</v>
      </c>
      <c r="N34" s="3">
        <f>ROUND(($M34/(7.48*60))/((PI()*0.25)*((N$31/12)^2)),3)</f>
        <v>0.50900000000000001</v>
      </c>
      <c r="O34" s="3">
        <f t="shared" si="12"/>
        <v>1.2410000000000001</v>
      </c>
      <c r="P34" s="18">
        <f>G34-M34</f>
        <v>1282</v>
      </c>
      <c r="Q34" s="9">
        <f t="shared" ref="Q34:Q43" si="20">ROUND(($P34/(7.48*60))/((PI()*0.25)*((Q$31/12)^2)),3)</f>
        <v>0.58199999999999996</v>
      </c>
      <c r="R34" s="3">
        <f t="shared" si="13"/>
        <v>1.2410000000000001</v>
      </c>
      <c r="S34" s="3">
        <f t="shared" si="14"/>
        <v>0</v>
      </c>
      <c r="T34" s="9">
        <f>ABS(O34)-ABS(R34)</f>
        <v>0</v>
      </c>
      <c r="U34" s="3">
        <f t="shared" ref="U34:U39" si="21">R34+O34+L34</f>
        <v>2.6670000000000003</v>
      </c>
      <c r="V34" s="7">
        <f t="shared" ref="V34:V39" si="22">U34+J34</f>
        <v>129.535</v>
      </c>
    </row>
    <row r="35" spans="3:22" x14ac:dyDescent="0.25">
      <c r="C35" s="21">
        <f t="shared" ref="C35:C43" si="23">M35/G35</f>
        <v>0.35899999999999999</v>
      </c>
      <c r="D35" s="19">
        <f t="shared" si="16"/>
        <v>1560.9756097560976</v>
      </c>
      <c r="E35" s="19">
        <f t="shared" si="17"/>
        <v>2439.0243902439024</v>
      </c>
      <c r="G35" s="18">
        <v>4000</v>
      </c>
      <c r="H35" s="7">
        <f t="shared" si="9"/>
        <v>123.86799999999999</v>
      </c>
      <c r="I35" s="3">
        <f t="shared" si="10"/>
        <v>3</v>
      </c>
      <c r="J35" s="8">
        <f t="shared" si="18"/>
        <v>126.86799999999999</v>
      </c>
      <c r="K35" s="3">
        <f t="shared" si="19"/>
        <v>1.8160000000000001</v>
      </c>
      <c r="L35" s="3">
        <f t="shared" si="11"/>
        <v>0.66800000000000004</v>
      </c>
      <c r="M35" s="20">
        <v>1436</v>
      </c>
      <c r="N35" s="3">
        <f t="shared" ref="N35:N43" si="24">ROUND(($M35/(7.48*60))/((PI()*0.25)*((N$31/12)^2)),3)</f>
        <v>1.018</v>
      </c>
      <c r="O35" s="3">
        <f t="shared" si="12"/>
        <v>4.4740000000000002</v>
      </c>
      <c r="P35" s="18">
        <f t="shared" ref="P35:P39" si="25">G35-M35</f>
        <v>2564</v>
      </c>
      <c r="Q35" s="9">
        <f t="shared" si="20"/>
        <v>1.1639999999999999</v>
      </c>
      <c r="R35" s="3">
        <f t="shared" si="13"/>
        <v>4.4740000000000002</v>
      </c>
      <c r="S35" s="3">
        <f t="shared" si="14"/>
        <v>0</v>
      </c>
      <c r="T35" s="9">
        <f t="shared" si="15"/>
        <v>0</v>
      </c>
      <c r="U35" s="3">
        <f t="shared" si="21"/>
        <v>9.6159999999999997</v>
      </c>
      <c r="V35" s="7">
        <f t="shared" si="22"/>
        <v>136.48399999999998</v>
      </c>
    </row>
    <row r="36" spans="3:22" x14ac:dyDescent="0.25">
      <c r="C36" s="21">
        <f>M36/G36</f>
        <v>0.35883333333333334</v>
      </c>
      <c r="D36" s="19">
        <f t="shared" si="16"/>
        <v>2341.4634146341464</v>
      </c>
      <c r="E36" s="19">
        <f t="shared" si="17"/>
        <v>3658.5365853658536</v>
      </c>
      <c r="G36" s="18">
        <v>6000</v>
      </c>
      <c r="H36" s="7">
        <f>($F$8-$F$3)*2.31</f>
        <v>123.86799999999999</v>
      </c>
      <c r="I36" s="3">
        <f t="shared" si="10"/>
        <v>3</v>
      </c>
      <c r="J36" s="8">
        <f t="shared" si="18"/>
        <v>126.86799999999999</v>
      </c>
      <c r="K36" s="3">
        <f t="shared" si="19"/>
        <v>2.7240000000000002</v>
      </c>
      <c r="L36" s="3">
        <f t="shared" si="11"/>
        <v>1.4139999999999999</v>
      </c>
      <c r="M36" s="20">
        <v>2153</v>
      </c>
      <c r="N36" s="9">
        <f t="shared" si="24"/>
        <v>1.5269999999999999</v>
      </c>
      <c r="O36" s="3">
        <f t="shared" si="12"/>
        <v>9.4719999999999995</v>
      </c>
      <c r="P36" s="18">
        <f t="shared" si="25"/>
        <v>3847</v>
      </c>
      <c r="Q36" s="9">
        <f t="shared" si="20"/>
        <v>1.746</v>
      </c>
      <c r="R36" s="3">
        <f t="shared" si="13"/>
        <v>9.4719999999999995</v>
      </c>
      <c r="S36" s="3">
        <f t="shared" si="14"/>
        <v>0</v>
      </c>
      <c r="T36" s="9">
        <f t="shared" si="15"/>
        <v>0</v>
      </c>
      <c r="U36" s="3">
        <f t="shared" si="21"/>
        <v>20.358000000000001</v>
      </c>
      <c r="V36" s="7">
        <f t="shared" si="22"/>
        <v>147.226</v>
      </c>
    </row>
    <row r="37" spans="3:22" x14ac:dyDescent="0.25">
      <c r="C37" s="21">
        <f t="shared" si="23"/>
        <v>0.358875</v>
      </c>
      <c r="D37" s="19">
        <f t="shared" si="16"/>
        <v>3121.9512195121952</v>
      </c>
      <c r="E37" s="19">
        <f t="shared" si="17"/>
        <v>4878.0487804878048</v>
      </c>
      <c r="G37" s="18">
        <v>8000</v>
      </c>
      <c r="H37" s="7">
        <f t="shared" si="9"/>
        <v>123.86799999999999</v>
      </c>
      <c r="I37" s="3">
        <f t="shared" si="10"/>
        <v>3</v>
      </c>
      <c r="J37" s="8">
        <f t="shared" si="18"/>
        <v>126.86799999999999</v>
      </c>
      <c r="K37" s="3">
        <f t="shared" si="19"/>
        <v>3.6309999999999998</v>
      </c>
      <c r="L37" s="3">
        <f t="shared" si="11"/>
        <v>2.407</v>
      </c>
      <c r="M37" s="20">
        <v>2871</v>
      </c>
      <c r="N37" s="3">
        <f t="shared" si="24"/>
        <v>2.036</v>
      </c>
      <c r="O37" s="3">
        <f t="shared" si="12"/>
        <v>16.126999999999999</v>
      </c>
      <c r="P37" s="18">
        <f t="shared" si="25"/>
        <v>5129</v>
      </c>
      <c r="Q37" s="9">
        <f t="shared" si="20"/>
        <v>2.3279999999999998</v>
      </c>
      <c r="R37" s="3">
        <f t="shared" si="13"/>
        <v>16.128</v>
      </c>
      <c r="S37" s="3">
        <f t="shared" si="14"/>
        <v>0</v>
      </c>
      <c r="T37" s="9">
        <f t="shared" si="15"/>
        <v>-1.0000000000012221E-3</v>
      </c>
      <c r="U37" s="3">
        <f t="shared" si="21"/>
        <v>34.661999999999992</v>
      </c>
      <c r="V37" s="7">
        <f t="shared" si="22"/>
        <v>161.52999999999997</v>
      </c>
    </row>
    <row r="38" spans="3:22" x14ac:dyDescent="0.25">
      <c r="C38" s="21">
        <f t="shared" si="23"/>
        <v>0.3589</v>
      </c>
      <c r="D38" s="19">
        <f t="shared" si="16"/>
        <v>3902.439024390244</v>
      </c>
      <c r="E38" s="19">
        <f t="shared" si="17"/>
        <v>6097.5609756097556</v>
      </c>
      <c r="G38" s="18">
        <v>10000</v>
      </c>
      <c r="H38" s="7">
        <f t="shared" si="9"/>
        <v>123.86799999999999</v>
      </c>
      <c r="I38" s="3">
        <f t="shared" si="10"/>
        <v>3</v>
      </c>
      <c r="J38" s="8">
        <f t="shared" si="18"/>
        <v>126.86799999999999</v>
      </c>
      <c r="K38" s="3">
        <f t="shared" si="19"/>
        <v>4.5389999999999997</v>
      </c>
      <c r="L38" s="3">
        <f t="shared" si="11"/>
        <v>3.637</v>
      </c>
      <c r="M38" s="20">
        <v>3589</v>
      </c>
      <c r="N38" s="3">
        <f t="shared" si="24"/>
        <v>2.5449999999999999</v>
      </c>
      <c r="O38" s="3">
        <f t="shared" si="12"/>
        <v>24.369</v>
      </c>
      <c r="P38" s="18">
        <f t="shared" si="25"/>
        <v>6411</v>
      </c>
      <c r="Q38" s="9">
        <f t="shared" si="20"/>
        <v>2.91</v>
      </c>
      <c r="R38" s="3">
        <f t="shared" si="13"/>
        <v>24.370999999999999</v>
      </c>
      <c r="S38" s="3">
        <f t="shared" si="14"/>
        <v>0</v>
      </c>
      <c r="T38" s="9">
        <f t="shared" si="15"/>
        <v>-1.9999999999988916E-3</v>
      </c>
      <c r="U38" s="3">
        <f t="shared" si="21"/>
        <v>52.376999999999995</v>
      </c>
      <c r="V38" s="7">
        <f t="shared" si="22"/>
        <v>179.245</v>
      </c>
    </row>
    <row r="39" spans="3:22" x14ac:dyDescent="0.25">
      <c r="C39" s="21">
        <f t="shared" si="23"/>
        <v>0.35883333333333334</v>
      </c>
      <c r="D39" s="19">
        <f t="shared" si="16"/>
        <v>4682.9268292682927</v>
      </c>
      <c r="E39" s="19">
        <f t="shared" si="17"/>
        <v>7317.0731707317073</v>
      </c>
      <c r="G39" s="18">
        <v>12000</v>
      </c>
      <c r="H39" s="7">
        <f t="shared" si="9"/>
        <v>123.86799999999999</v>
      </c>
      <c r="I39" s="3">
        <f t="shared" si="10"/>
        <v>3</v>
      </c>
      <c r="J39" s="8">
        <f t="shared" si="18"/>
        <v>126.86799999999999</v>
      </c>
      <c r="K39" s="3">
        <f>ROUND(($G39/(7.48*60))/((PI()*0.25)*((K$14/12)^2)),3)</f>
        <v>5.4470000000000001</v>
      </c>
      <c r="L39" s="3">
        <f t="shared" si="11"/>
        <v>5.0970000000000004</v>
      </c>
      <c r="M39" s="20">
        <v>4306</v>
      </c>
      <c r="N39" s="3">
        <f t="shared" si="24"/>
        <v>3.0539999999999998</v>
      </c>
      <c r="O39" s="3">
        <f t="shared" si="12"/>
        <v>34.145000000000003</v>
      </c>
      <c r="P39" s="18">
        <f t="shared" si="25"/>
        <v>7694</v>
      </c>
      <c r="Q39" s="9">
        <f t="shared" si="20"/>
        <v>3.492</v>
      </c>
      <c r="R39" s="3">
        <f t="shared" si="13"/>
        <v>34.146999999999998</v>
      </c>
      <c r="S39" s="26">
        <f>ABS(M39+P39)-G39</f>
        <v>0</v>
      </c>
      <c r="T39" s="9">
        <f t="shared" si="15"/>
        <v>-1.9999999999953388E-3</v>
      </c>
      <c r="U39" s="3">
        <f t="shared" si="21"/>
        <v>73.388999999999996</v>
      </c>
      <c r="V39" s="7">
        <f t="shared" si="22"/>
        <v>200.25700000000001</v>
      </c>
    </row>
    <row r="40" spans="3:22" x14ac:dyDescent="0.25">
      <c r="C40" s="21">
        <f t="shared" si="23"/>
        <v>0.35885714285714287</v>
      </c>
      <c r="D40" s="19">
        <f t="shared" ref="D40:D43" si="26">$D$32*G40</f>
        <v>5463.414634146342</v>
      </c>
      <c r="E40" s="19">
        <f t="shared" ref="E40:E43" si="27">$E$32*G40</f>
        <v>8536.585365853658</v>
      </c>
      <c r="G40" s="18">
        <v>14000</v>
      </c>
      <c r="H40" s="7">
        <f>($F$8-$F$3)*2.31</f>
        <v>123.86799999999999</v>
      </c>
      <c r="I40" s="3">
        <f t="shared" si="10"/>
        <v>3</v>
      </c>
      <c r="J40" s="8">
        <f t="shared" si="18"/>
        <v>126.86799999999999</v>
      </c>
      <c r="K40" s="3">
        <f t="shared" ref="K40:K43" si="28">ROUND(($G40/(7.48*60))/((PI()*0.25)*((K$14/12)^2)),3)</f>
        <v>6.3550000000000004</v>
      </c>
      <c r="L40" s="3">
        <f t="shared" ref="L40:L43" si="29">ROUND((3.022*(K40^1.85)*$F$4)/(($L$14^1.85)*(($K$14/12)^1.17)),3)</f>
        <v>6.7789999999999999</v>
      </c>
      <c r="M40" s="20">
        <v>5024</v>
      </c>
      <c r="N40" s="3">
        <f t="shared" si="24"/>
        <v>3.5630000000000002</v>
      </c>
      <c r="O40" s="3">
        <f t="shared" ref="O40:O43" si="30">ROUND((3.022*(N40^1.85)*$F$5)/(($O$31^1.85)*(($N$31/12)^1.17)),3)</f>
        <v>45.412999999999997</v>
      </c>
      <c r="P40" s="18">
        <f t="shared" ref="P40:P43" si="31">G40-M40</f>
        <v>8976</v>
      </c>
      <c r="Q40" s="9">
        <f t="shared" si="20"/>
        <v>4.0739999999999998</v>
      </c>
      <c r="R40" s="3">
        <f t="shared" ref="R40:R43" si="32">ROUND((3.022*(Q40^1.85)*$F$6)/(($R$31^1.85)*(($Q$31/12)^1.17)),3)</f>
        <v>45.415999999999997</v>
      </c>
      <c r="S40" s="3">
        <f t="shared" ref="S40:S43" si="33">ABS(M40+P40)-G40</f>
        <v>0</v>
      </c>
      <c r="T40" s="9">
        <f t="shared" ref="T40:T43" si="34">ABS(O40)-ABS(R40)</f>
        <v>-3.0000000000001137E-3</v>
      </c>
      <c r="U40" s="3">
        <f t="shared" ref="U40:U43" si="35">R40+O40+L40</f>
        <v>97.60799999999999</v>
      </c>
      <c r="V40" s="7">
        <f t="shared" ref="V40:V43" si="36">U40+J40</f>
        <v>224.476</v>
      </c>
    </row>
    <row r="41" spans="3:22" x14ac:dyDescent="0.25">
      <c r="C41" s="21">
        <f t="shared" si="23"/>
        <v>0.358875</v>
      </c>
      <c r="D41" s="19">
        <f t="shared" si="26"/>
        <v>6243.9024390243903</v>
      </c>
      <c r="E41" s="19">
        <f t="shared" si="27"/>
        <v>9756.0975609756097</v>
      </c>
      <c r="G41" s="18">
        <v>16000</v>
      </c>
      <c r="H41" s="7">
        <f t="shared" si="9"/>
        <v>123.86799999999999</v>
      </c>
      <c r="I41" s="3">
        <f t="shared" si="10"/>
        <v>3</v>
      </c>
      <c r="J41" s="8">
        <f t="shared" si="18"/>
        <v>126.86799999999999</v>
      </c>
      <c r="K41" s="3">
        <f t="shared" si="28"/>
        <v>7.2629999999999999</v>
      </c>
      <c r="L41" s="3">
        <f t="shared" si="29"/>
        <v>8.6790000000000003</v>
      </c>
      <c r="M41" s="20">
        <v>5742</v>
      </c>
      <c r="N41" s="3">
        <f t="shared" si="24"/>
        <v>4.0720000000000001</v>
      </c>
      <c r="O41" s="3">
        <f t="shared" si="30"/>
        <v>58.137999999999998</v>
      </c>
      <c r="P41" s="18">
        <f t="shared" si="31"/>
        <v>10258</v>
      </c>
      <c r="Q41" s="9">
        <f t="shared" si="20"/>
        <v>4.6559999999999997</v>
      </c>
      <c r="R41" s="3">
        <f t="shared" si="32"/>
        <v>58.142000000000003</v>
      </c>
      <c r="S41" s="3">
        <f t="shared" si="33"/>
        <v>0</v>
      </c>
      <c r="T41" s="9">
        <f t="shared" si="34"/>
        <v>-4.0000000000048885E-3</v>
      </c>
      <c r="U41" s="3">
        <f t="shared" si="35"/>
        <v>124.959</v>
      </c>
      <c r="V41" s="7">
        <f t="shared" si="36"/>
        <v>251.827</v>
      </c>
    </row>
    <row r="42" spans="3:22" x14ac:dyDescent="0.25">
      <c r="C42" s="21">
        <f t="shared" si="23"/>
        <v>0.35883333333333334</v>
      </c>
      <c r="D42" s="19">
        <f t="shared" si="26"/>
        <v>7024.3902439024396</v>
      </c>
      <c r="E42" s="19">
        <f t="shared" si="27"/>
        <v>10975.609756097561</v>
      </c>
      <c r="G42" s="18">
        <v>18000</v>
      </c>
      <c r="H42" s="7">
        <f t="shared" si="9"/>
        <v>123.86799999999999</v>
      </c>
      <c r="I42" s="3">
        <f t="shared" si="10"/>
        <v>3</v>
      </c>
      <c r="J42" s="8">
        <f t="shared" si="18"/>
        <v>126.86799999999999</v>
      </c>
      <c r="K42" s="3">
        <f t="shared" si="28"/>
        <v>8.1709999999999994</v>
      </c>
      <c r="L42" s="3">
        <f t="shared" si="29"/>
        <v>10.792</v>
      </c>
      <c r="M42" s="20">
        <v>6459</v>
      </c>
      <c r="N42" s="3">
        <f t="shared" si="24"/>
        <v>4.5810000000000004</v>
      </c>
      <c r="O42" s="3">
        <f t="shared" si="30"/>
        <v>72.293000000000006</v>
      </c>
      <c r="P42" s="18">
        <f t="shared" si="31"/>
        <v>11541</v>
      </c>
      <c r="Q42" s="9">
        <f t="shared" si="20"/>
        <v>5.2389999999999999</v>
      </c>
      <c r="R42" s="3">
        <f t="shared" si="32"/>
        <v>72.322999999999993</v>
      </c>
      <c r="S42" s="3">
        <f t="shared" si="33"/>
        <v>0</v>
      </c>
      <c r="T42" s="9">
        <f t="shared" si="34"/>
        <v>-2.9999999999986926E-2</v>
      </c>
      <c r="U42" s="3">
        <f t="shared" si="35"/>
        <v>155.40799999999999</v>
      </c>
      <c r="V42" s="7">
        <f t="shared" si="36"/>
        <v>282.27599999999995</v>
      </c>
    </row>
    <row r="43" spans="3:22" x14ac:dyDescent="0.25">
      <c r="C43" s="21">
        <f t="shared" si="23"/>
        <v>0.35880000000000001</v>
      </c>
      <c r="D43" s="19">
        <f t="shared" si="26"/>
        <v>7804.8780487804879</v>
      </c>
      <c r="E43" s="19">
        <f t="shared" si="27"/>
        <v>12195.121951219511</v>
      </c>
      <c r="G43" s="18">
        <v>20000</v>
      </c>
      <c r="H43" s="7">
        <f t="shared" si="9"/>
        <v>123.86799999999999</v>
      </c>
      <c r="I43" s="3">
        <f t="shared" si="10"/>
        <v>3</v>
      </c>
      <c r="J43" s="8">
        <f t="shared" si="18"/>
        <v>126.86799999999999</v>
      </c>
      <c r="K43" s="3">
        <f t="shared" si="28"/>
        <v>9.0779999999999994</v>
      </c>
      <c r="L43" s="3">
        <f t="shared" si="29"/>
        <v>13.112</v>
      </c>
      <c r="M43" s="20">
        <v>7176</v>
      </c>
      <c r="N43" s="3">
        <f t="shared" si="24"/>
        <v>5.09</v>
      </c>
      <c r="O43" s="3">
        <f t="shared" si="30"/>
        <v>87.850999999999999</v>
      </c>
      <c r="P43" s="18">
        <f t="shared" si="31"/>
        <v>12824</v>
      </c>
      <c r="Q43" s="9">
        <f t="shared" si="20"/>
        <v>5.8209999999999997</v>
      </c>
      <c r="R43" s="3">
        <f t="shared" si="32"/>
        <v>87.885000000000005</v>
      </c>
      <c r="S43" s="3">
        <f t="shared" si="33"/>
        <v>0</v>
      </c>
      <c r="T43" s="9">
        <f t="shared" si="34"/>
        <v>-3.4000000000006025E-2</v>
      </c>
      <c r="U43" s="3">
        <f t="shared" si="35"/>
        <v>188.84799999999998</v>
      </c>
      <c r="V43" s="7">
        <f t="shared" si="36"/>
        <v>315.71600000000001</v>
      </c>
    </row>
    <row r="44" spans="3:22" x14ac:dyDescent="0.25">
      <c r="S44" s="10">
        <f>SUM(S33:S43)</f>
        <v>0</v>
      </c>
      <c r="T44" s="10">
        <f>SUM(T33:T43)</f>
        <v>-7.5999999999993406E-2</v>
      </c>
    </row>
    <row r="69" spans="4:4" x14ac:dyDescent="0.25">
      <c r="D69" s="24"/>
    </row>
    <row r="70" spans="4:4" x14ac:dyDescent="0.25">
      <c r="D70" s="24"/>
    </row>
    <row r="71" spans="4:4" x14ac:dyDescent="0.25">
      <c r="D71" s="25"/>
    </row>
  </sheetData>
  <mergeCells count="16">
    <mergeCell ref="V29:V31"/>
    <mergeCell ref="M30:O30"/>
    <mergeCell ref="P30:R30"/>
    <mergeCell ref="S30:T30"/>
    <mergeCell ref="K29:U29"/>
    <mergeCell ref="U30:U31"/>
    <mergeCell ref="P12:P14"/>
    <mergeCell ref="G29:G31"/>
    <mergeCell ref="H29:J30"/>
    <mergeCell ref="K30:L30"/>
    <mergeCell ref="H12:J13"/>
    <mergeCell ref="G12:G14"/>
    <mergeCell ref="K13:L13"/>
    <mergeCell ref="M13:N13"/>
    <mergeCell ref="K12:O12"/>
    <mergeCell ref="O13:O14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0" sqref="I1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"/>
  <sheetViews>
    <sheetView workbookViewId="0">
      <selection activeCell="O32" sqref="O32"/>
    </sheetView>
  </sheetViews>
  <sheetFormatPr defaultRowHeight="15" x14ac:dyDescent="0.25"/>
  <sheetData>
    <row r="1" spans="1:2" x14ac:dyDescent="0.25">
      <c r="A1" t="s">
        <v>17</v>
      </c>
    </row>
    <row r="2" spans="1:2" x14ac:dyDescent="0.25">
      <c r="A2" s="11">
        <v>100</v>
      </c>
    </row>
    <row r="3" spans="1:2" x14ac:dyDescent="0.25">
      <c r="A3" t="s">
        <v>18</v>
      </c>
      <c r="B3" t="s">
        <v>19</v>
      </c>
    </row>
    <row r="4" spans="1:2" x14ac:dyDescent="0.25">
      <c r="A4">
        <v>340</v>
      </c>
      <c r="B4">
        <v>0</v>
      </c>
    </row>
    <row r="5" spans="1:2" x14ac:dyDescent="0.25">
      <c r="A5">
        <v>335</v>
      </c>
      <c r="B5">
        <v>1600</v>
      </c>
    </row>
    <row r="6" spans="1:2" x14ac:dyDescent="0.25">
      <c r="A6">
        <v>320</v>
      </c>
      <c r="B6">
        <v>3200</v>
      </c>
    </row>
    <row r="7" spans="1:2" x14ac:dyDescent="0.25">
      <c r="A7">
        <v>310</v>
      </c>
      <c r="B7">
        <v>4800</v>
      </c>
    </row>
    <row r="8" spans="1:2" x14ac:dyDescent="0.25">
      <c r="A8">
        <v>290</v>
      </c>
      <c r="B8">
        <v>6400</v>
      </c>
    </row>
    <row r="9" spans="1:2" x14ac:dyDescent="0.25">
      <c r="A9">
        <v>265</v>
      </c>
      <c r="B9">
        <v>8000</v>
      </c>
    </row>
    <row r="10" spans="1:2" x14ac:dyDescent="0.25">
      <c r="A10">
        <v>240</v>
      </c>
      <c r="B10">
        <v>9600</v>
      </c>
    </row>
    <row r="11" spans="1:2" x14ac:dyDescent="0.25">
      <c r="A11">
        <v>200</v>
      </c>
      <c r="B11">
        <v>11200</v>
      </c>
    </row>
    <row r="12" spans="1:2" x14ac:dyDescent="0.25">
      <c r="A12">
        <v>150</v>
      </c>
      <c r="B12">
        <v>12800</v>
      </c>
    </row>
    <row r="15" spans="1:2" x14ac:dyDescent="0.25">
      <c r="A15" s="12">
        <v>90</v>
      </c>
    </row>
    <row r="16" spans="1:2" x14ac:dyDescent="0.25">
      <c r="A16" s="13">
        <f>A4/($A$2/$A$15)^2</f>
        <v>275.39999999999998</v>
      </c>
      <c r="B16">
        <f>B4/($A$2/$A$15)</f>
        <v>0</v>
      </c>
    </row>
    <row r="17" spans="1:2" x14ac:dyDescent="0.25">
      <c r="A17" s="13">
        <f>A5/($A$2/$A$15)^2</f>
        <v>271.34999999999997</v>
      </c>
      <c r="B17" s="13">
        <f>B5/($A$2/$A$15)</f>
        <v>1440</v>
      </c>
    </row>
    <row r="18" spans="1:2" x14ac:dyDescent="0.25">
      <c r="A18" s="13">
        <f t="shared" ref="A18:A24" si="0">A6/($A$2/$A$15)^2</f>
        <v>259.2</v>
      </c>
      <c r="B18" s="13">
        <f t="shared" ref="B18:B24" si="1">B6/($A$2/$A$15)</f>
        <v>2880</v>
      </c>
    </row>
    <row r="19" spans="1:2" x14ac:dyDescent="0.25">
      <c r="A19" s="13">
        <f t="shared" si="0"/>
        <v>251.09999999999997</v>
      </c>
      <c r="B19" s="13">
        <f t="shared" si="1"/>
        <v>4320</v>
      </c>
    </row>
    <row r="20" spans="1:2" x14ac:dyDescent="0.25">
      <c r="A20" s="13">
        <f t="shared" si="0"/>
        <v>234.89999999999998</v>
      </c>
      <c r="B20" s="13">
        <f t="shared" si="1"/>
        <v>5760</v>
      </c>
    </row>
    <row r="21" spans="1:2" x14ac:dyDescent="0.25">
      <c r="A21" s="13">
        <f t="shared" si="0"/>
        <v>214.64999999999998</v>
      </c>
      <c r="B21" s="13">
        <f t="shared" si="1"/>
        <v>7200</v>
      </c>
    </row>
    <row r="22" spans="1:2" x14ac:dyDescent="0.25">
      <c r="A22" s="13">
        <f t="shared" si="0"/>
        <v>194.39999999999998</v>
      </c>
      <c r="B22" s="13">
        <f t="shared" si="1"/>
        <v>8640</v>
      </c>
    </row>
    <row r="23" spans="1:2" x14ac:dyDescent="0.25">
      <c r="A23" s="13">
        <f t="shared" si="0"/>
        <v>161.99999999999997</v>
      </c>
      <c r="B23" s="13">
        <f t="shared" si="1"/>
        <v>10080</v>
      </c>
    </row>
    <row r="24" spans="1:2" x14ac:dyDescent="0.25">
      <c r="A24" s="13">
        <f t="shared" si="0"/>
        <v>121.49999999999999</v>
      </c>
      <c r="B24" s="13">
        <f t="shared" si="1"/>
        <v>11520</v>
      </c>
    </row>
    <row r="25" spans="1:2" x14ac:dyDescent="0.25">
      <c r="A25" s="13"/>
      <c r="B25" s="13"/>
    </row>
    <row r="27" spans="1:2" x14ac:dyDescent="0.25">
      <c r="A27" s="14">
        <v>85</v>
      </c>
    </row>
    <row r="28" spans="1:2" x14ac:dyDescent="0.25">
      <c r="A28" s="13">
        <f>A4/($A$2/$A$27)^2</f>
        <v>245.64999999999998</v>
      </c>
      <c r="B28" s="13">
        <f>B4/($A$2/$A$27)</f>
        <v>0</v>
      </c>
    </row>
    <row r="29" spans="1:2" x14ac:dyDescent="0.25">
      <c r="A29" s="13">
        <f t="shared" ref="A29:A36" si="2">A5/($A$2/$A$27)^2</f>
        <v>242.03749999999999</v>
      </c>
      <c r="B29" s="13">
        <f t="shared" ref="B29:B36" si="3">B5/($A$2/$A$27)</f>
        <v>1360</v>
      </c>
    </row>
    <row r="30" spans="1:2" x14ac:dyDescent="0.25">
      <c r="A30" s="13">
        <f t="shared" si="2"/>
        <v>231.2</v>
      </c>
      <c r="B30" s="13">
        <f>B6/($A$2/$A$27)</f>
        <v>2720</v>
      </c>
    </row>
    <row r="31" spans="1:2" x14ac:dyDescent="0.25">
      <c r="A31" s="13">
        <f t="shared" si="2"/>
        <v>223.97499999999999</v>
      </c>
      <c r="B31" s="13">
        <f t="shared" si="3"/>
        <v>4080</v>
      </c>
    </row>
    <row r="32" spans="1:2" x14ac:dyDescent="0.25">
      <c r="A32" s="13">
        <f t="shared" si="2"/>
        <v>209.52499999999998</v>
      </c>
      <c r="B32" s="13">
        <f t="shared" si="3"/>
        <v>5440</v>
      </c>
    </row>
    <row r="33" spans="1:2" x14ac:dyDescent="0.25">
      <c r="A33" s="13">
        <f t="shared" si="2"/>
        <v>191.46249999999998</v>
      </c>
      <c r="B33" s="13">
        <f t="shared" si="3"/>
        <v>6800</v>
      </c>
    </row>
    <row r="34" spans="1:2" x14ac:dyDescent="0.25">
      <c r="A34" s="13">
        <f t="shared" si="2"/>
        <v>173.39999999999998</v>
      </c>
      <c r="B34" s="13">
        <f t="shared" si="3"/>
        <v>8160</v>
      </c>
    </row>
    <row r="35" spans="1:2" x14ac:dyDescent="0.25">
      <c r="A35" s="13">
        <f t="shared" si="2"/>
        <v>144.5</v>
      </c>
      <c r="B35" s="13">
        <f t="shared" si="3"/>
        <v>9520</v>
      </c>
    </row>
    <row r="36" spans="1:2" x14ac:dyDescent="0.25">
      <c r="A36" s="13">
        <f t="shared" si="2"/>
        <v>108.37499999999999</v>
      </c>
      <c r="B36" s="13">
        <f t="shared" si="3"/>
        <v>10880</v>
      </c>
    </row>
    <row r="37" spans="1:2" x14ac:dyDescent="0.25">
      <c r="A37" s="13"/>
      <c r="B37" s="13"/>
    </row>
    <row r="39" spans="1:2" x14ac:dyDescent="0.25">
      <c r="A39" s="15">
        <v>80</v>
      </c>
    </row>
    <row r="40" spans="1:2" x14ac:dyDescent="0.25">
      <c r="A40" s="13">
        <f>A4/($A$2/$A$39)^2</f>
        <v>217.6</v>
      </c>
      <c r="B40">
        <f>B4/($A$2/$A$39)</f>
        <v>0</v>
      </c>
    </row>
    <row r="41" spans="1:2" x14ac:dyDescent="0.25">
      <c r="A41" s="13">
        <f t="shared" ref="A41:A48" si="4">A5/($A$2/$A$39)^2</f>
        <v>214.4</v>
      </c>
      <c r="B41" s="13">
        <f t="shared" ref="B41:B48" si="5">B5/($A$2/$A$39)</f>
        <v>1280</v>
      </c>
    </row>
    <row r="42" spans="1:2" x14ac:dyDescent="0.25">
      <c r="A42" s="13">
        <f t="shared" si="4"/>
        <v>204.8</v>
      </c>
      <c r="B42" s="13">
        <f t="shared" si="5"/>
        <v>2560</v>
      </c>
    </row>
    <row r="43" spans="1:2" x14ac:dyDescent="0.25">
      <c r="A43" s="13">
        <f t="shared" si="4"/>
        <v>198.4</v>
      </c>
      <c r="B43" s="13">
        <f t="shared" si="5"/>
        <v>3840</v>
      </c>
    </row>
    <row r="44" spans="1:2" x14ac:dyDescent="0.25">
      <c r="A44" s="13">
        <f t="shared" si="4"/>
        <v>185.6</v>
      </c>
      <c r="B44" s="13">
        <f t="shared" si="5"/>
        <v>5120</v>
      </c>
    </row>
    <row r="45" spans="1:2" x14ac:dyDescent="0.25">
      <c r="A45" s="13">
        <f t="shared" si="4"/>
        <v>169.6</v>
      </c>
      <c r="B45" s="13">
        <f t="shared" si="5"/>
        <v>6400</v>
      </c>
    </row>
    <row r="46" spans="1:2" x14ac:dyDescent="0.25">
      <c r="A46" s="13">
        <f t="shared" si="4"/>
        <v>153.6</v>
      </c>
      <c r="B46" s="13">
        <f t="shared" si="5"/>
        <v>7680</v>
      </c>
    </row>
    <row r="47" spans="1:2" x14ac:dyDescent="0.25">
      <c r="A47" s="13">
        <f t="shared" si="4"/>
        <v>128</v>
      </c>
      <c r="B47" s="13">
        <f t="shared" si="5"/>
        <v>8960</v>
      </c>
    </row>
    <row r="48" spans="1:2" x14ac:dyDescent="0.25">
      <c r="A48" s="13">
        <f t="shared" si="4"/>
        <v>96</v>
      </c>
      <c r="B48" s="13">
        <f t="shared" si="5"/>
        <v>10240</v>
      </c>
    </row>
    <row r="49" spans="1:2" x14ac:dyDescent="0.25">
      <c r="A49" s="13"/>
      <c r="B49" s="13"/>
    </row>
    <row r="51" spans="1:2" x14ac:dyDescent="0.25">
      <c r="A51" s="15">
        <v>75</v>
      </c>
    </row>
    <row r="52" spans="1:2" x14ac:dyDescent="0.25">
      <c r="A52" s="13">
        <f>A4/($A$2/$A$51)^2</f>
        <v>191.25</v>
      </c>
      <c r="B52">
        <f>B4/($A$2/$A$51)</f>
        <v>0</v>
      </c>
    </row>
    <row r="53" spans="1:2" x14ac:dyDescent="0.25">
      <c r="A53" s="13">
        <f t="shared" ref="A53:A60" si="6">A5/($A$2/$A$51)^2</f>
        <v>188.4375</v>
      </c>
      <c r="B53">
        <f t="shared" ref="B53:B60" si="7">B5/($A$2/$A$51)</f>
        <v>1200</v>
      </c>
    </row>
    <row r="54" spans="1:2" x14ac:dyDescent="0.25">
      <c r="A54" s="13">
        <f t="shared" si="6"/>
        <v>180</v>
      </c>
      <c r="B54">
        <f t="shared" si="7"/>
        <v>2400</v>
      </c>
    </row>
    <row r="55" spans="1:2" x14ac:dyDescent="0.25">
      <c r="A55" s="13">
        <f t="shared" si="6"/>
        <v>174.375</v>
      </c>
      <c r="B55">
        <f t="shared" si="7"/>
        <v>3600</v>
      </c>
    </row>
    <row r="56" spans="1:2" x14ac:dyDescent="0.25">
      <c r="A56" s="13">
        <f t="shared" si="6"/>
        <v>163.125</v>
      </c>
      <c r="B56">
        <f t="shared" si="7"/>
        <v>4800</v>
      </c>
    </row>
    <row r="57" spans="1:2" x14ac:dyDescent="0.25">
      <c r="A57" s="13">
        <f t="shared" si="6"/>
        <v>149.0625</v>
      </c>
      <c r="B57">
        <f t="shared" si="7"/>
        <v>6000</v>
      </c>
    </row>
    <row r="58" spans="1:2" x14ac:dyDescent="0.25">
      <c r="A58" s="13">
        <f t="shared" si="6"/>
        <v>135</v>
      </c>
      <c r="B58">
        <f t="shared" si="7"/>
        <v>7200</v>
      </c>
    </row>
    <row r="59" spans="1:2" x14ac:dyDescent="0.25">
      <c r="A59" s="13">
        <f t="shared" si="6"/>
        <v>112.5</v>
      </c>
      <c r="B59">
        <f t="shared" si="7"/>
        <v>8400</v>
      </c>
    </row>
    <row r="60" spans="1:2" x14ac:dyDescent="0.25">
      <c r="A60" s="13">
        <f t="shared" si="6"/>
        <v>84.375</v>
      </c>
      <c r="B60">
        <f t="shared" si="7"/>
        <v>9600</v>
      </c>
    </row>
    <row r="63" spans="1:2" x14ac:dyDescent="0.25">
      <c r="A63" s="15">
        <v>70</v>
      </c>
    </row>
    <row r="64" spans="1:2" x14ac:dyDescent="0.25">
      <c r="A64" s="13">
        <f>A4/($A$2/$A$63)^2</f>
        <v>166.6</v>
      </c>
      <c r="B64">
        <f>B4/($A$2/$A$63)</f>
        <v>0</v>
      </c>
    </row>
    <row r="65" spans="1:2" x14ac:dyDescent="0.25">
      <c r="A65" s="13">
        <f t="shared" ref="A65:A72" si="8">A5/($A$2/$A$63)^2</f>
        <v>164.15</v>
      </c>
      <c r="B65">
        <f t="shared" ref="B65:B72" si="9">B5/($A$2/$A$63)</f>
        <v>1120</v>
      </c>
    </row>
    <row r="66" spans="1:2" x14ac:dyDescent="0.25">
      <c r="A66" s="13">
        <f t="shared" si="8"/>
        <v>156.79999999999998</v>
      </c>
      <c r="B66">
        <f t="shared" si="9"/>
        <v>2240</v>
      </c>
    </row>
    <row r="67" spans="1:2" x14ac:dyDescent="0.25">
      <c r="A67" s="13">
        <f t="shared" si="8"/>
        <v>151.9</v>
      </c>
      <c r="B67">
        <f t="shared" si="9"/>
        <v>3360</v>
      </c>
    </row>
    <row r="68" spans="1:2" x14ac:dyDescent="0.25">
      <c r="A68" s="13">
        <f t="shared" si="8"/>
        <v>142.1</v>
      </c>
      <c r="B68">
        <f t="shared" si="9"/>
        <v>4480</v>
      </c>
    </row>
    <row r="69" spans="1:2" x14ac:dyDescent="0.25">
      <c r="A69" s="13">
        <f t="shared" si="8"/>
        <v>129.85</v>
      </c>
      <c r="B69">
        <f t="shared" si="9"/>
        <v>5600</v>
      </c>
    </row>
    <row r="70" spans="1:2" x14ac:dyDescent="0.25">
      <c r="A70" s="13">
        <f t="shared" si="8"/>
        <v>117.6</v>
      </c>
      <c r="B70">
        <f t="shared" si="9"/>
        <v>6720</v>
      </c>
    </row>
    <row r="71" spans="1:2" x14ac:dyDescent="0.25">
      <c r="A71" s="13">
        <f t="shared" si="8"/>
        <v>98</v>
      </c>
      <c r="B71">
        <f t="shared" si="9"/>
        <v>7840</v>
      </c>
    </row>
    <row r="72" spans="1:2" x14ac:dyDescent="0.25">
      <c r="A72" s="13">
        <f t="shared" si="8"/>
        <v>73.5</v>
      </c>
      <c r="B72">
        <f t="shared" si="9"/>
        <v>8960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workbookViewId="0">
      <selection activeCell="A27" sqref="A27"/>
    </sheetView>
  </sheetViews>
  <sheetFormatPr defaultRowHeight="15" x14ac:dyDescent="0.25"/>
  <cols>
    <col min="3" max="3" width="10.5703125" bestFit="1" customWidth="1"/>
  </cols>
  <sheetData>
    <row r="1" spans="1:3" x14ac:dyDescent="0.25">
      <c r="A1" t="s">
        <v>17</v>
      </c>
      <c r="B1" t="s">
        <v>31</v>
      </c>
      <c r="C1" t="s">
        <v>32</v>
      </c>
    </row>
    <row r="2" spans="1:3" x14ac:dyDescent="0.25">
      <c r="A2" s="11">
        <v>100</v>
      </c>
    </row>
    <row r="3" spans="1:3" x14ac:dyDescent="0.25">
      <c r="A3" t="s">
        <v>18</v>
      </c>
      <c r="B3" t="s">
        <v>19</v>
      </c>
    </row>
    <row r="4" spans="1:3" x14ac:dyDescent="0.25">
      <c r="A4">
        <v>340</v>
      </c>
      <c r="B4">
        <v>0</v>
      </c>
      <c r="C4" s="19">
        <f>B4*2</f>
        <v>0</v>
      </c>
    </row>
    <row r="5" spans="1:3" x14ac:dyDescent="0.25">
      <c r="A5">
        <v>335</v>
      </c>
      <c r="B5">
        <v>1600</v>
      </c>
      <c r="C5" s="19">
        <f t="shared" ref="C5:C12" si="0">B5*2</f>
        <v>3200</v>
      </c>
    </row>
    <row r="6" spans="1:3" x14ac:dyDescent="0.25">
      <c r="A6">
        <v>320</v>
      </c>
      <c r="B6">
        <v>3200</v>
      </c>
      <c r="C6" s="19">
        <f t="shared" si="0"/>
        <v>6400</v>
      </c>
    </row>
    <row r="7" spans="1:3" x14ac:dyDescent="0.25">
      <c r="A7">
        <v>310</v>
      </c>
      <c r="B7">
        <v>4800</v>
      </c>
      <c r="C7" s="19">
        <f t="shared" si="0"/>
        <v>9600</v>
      </c>
    </row>
    <row r="8" spans="1:3" x14ac:dyDescent="0.25">
      <c r="A8">
        <v>290</v>
      </c>
      <c r="B8">
        <v>6400</v>
      </c>
      <c r="C8" s="19">
        <f t="shared" si="0"/>
        <v>12800</v>
      </c>
    </row>
    <row r="9" spans="1:3" x14ac:dyDescent="0.25">
      <c r="A9">
        <v>265</v>
      </c>
      <c r="B9">
        <v>8000</v>
      </c>
      <c r="C9" s="19">
        <f t="shared" si="0"/>
        <v>16000</v>
      </c>
    </row>
    <row r="10" spans="1:3" x14ac:dyDescent="0.25">
      <c r="A10">
        <v>240</v>
      </c>
      <c r="B10">
        <v>9600</v>
      </c>
      <c r="C10" s="19">
        <f t="shared" si="0"/>
        <v>19200</v>
      </c>
    </row>
    <row r="11" spans="1:3" x14ac:dyDescent="0.25">
      <c r="A11">
        <v>200</v>
      </c>
      <c r="B11">
        <v>11200</v>
      </c>
      <c r="C11" s="19">
        <f t="shared" si="0"/>
        <v>22400</v>
      </c>
    </row>
    <row r="12" spans="1:3" x14ac:dyDescent="0.25">
      <c r="A12">
        <v>150</v>
      </c>
      <c r="B12">
        <v>12800</v>
      </c>
      <c r="C12" s="19">
        <f t="shared" si="0"/>
        <v>25600</v>
      </c>
    </row>
    <row r="13" spans="1:3" x14ac:dyDescent="0.25">
      <c r="C13" s="19"/>
    </row>
    <row r="14" spans="1:3" x14ac:dyDescent="0.25">
      <c r="A14" s="50">
        <v>95</v>
      </c>
      <c r="C14" s="19"/>
    </row>
    <row r="15" spans="1:3" x14ac:dyDescent="0.25">
      <c r="A15" s="13">
        <f>A4/($A$2/$A$14)^2</f>
        <v>306.85000000000002</v>
      </c>
      <c r="B15">
        <f>B4/($A$2/$A$14)</f>
        <v>0</v>
      </c>
      <c r="C15" s="19">
        <f t="shared" ref="C15:C23" si="1">B15*2</f>
        <v>0</v>
      </c>
    </row>
    <row r="16" spans="1:3" x14ac:dyDescent="0.25">
      <c r="A16" s="13">
        <f t="shared" ref="A16:A23" si="2">A5/($A$2/$A$14)^2</f>
        <v>302.33750000000003</v>
      </c>
      <c r="B16">
        <f t="shared" ref="B16:B23" si="3">B5/($A$2/$A$14)</f>
        <v>1520</v>
      </c>
      <c r="C16" s="19">
        <f t="shared" si="1"/>
        <v>3040</v>
      </c>
    </row>
    <row r="17" spans="1:3" x14ac:dyDescent="0.25">
      <c r="A17" s="13">
        <f t="shared" si="2"/>
        <v>288.8</v>
      </c>
      <c r="B17">
        <f t="shared" si="3"/>
        <v>3040</v>
      </c>
      <c r="C17" s="19">
        <f t="shared" si="1"/>
        <v>6080</v>
      </c>
    </row>
    <row r="18" spans="1:3" x14ac:dyDescent="0.25">
      <c r="A18" s="13">
        <f t="shared" si="2"/>
        <v>279.77500000000003</v>
      </c>
      <c r="B18">
        <f t="shared" si="3"/>
        <v>4560</v>
      </c>
      <c r="C18" s="19">
        <f t="shared" si="1"/>
        <v>9120</v>
      </c>
    </row>
    <row r="19" spans="1:3" x14ac:dyDescent="0.25">
      <c r="A19" s="13">
        <f t="shared" si="2"/>
        <v>261.72500000000002</v>
      </c>
      <c r="B19">
        <f t="shared" si="3"/>
        <v>6080</v>
      </c>
      <c r="C19" s="19">
        <f t="shared" si="1"/>
        <v>12160</v>
      </c>
    </row>
    <row r="20" spans="1:3" x14ac:dyDescent="0.25">
      <c r="A20" s="13">
        <f t="shared" si="2"/>
        <v>239.16250000000002</v>
      </c>
      <c r="B20">
        <f t="shared" si="3"/>
        <v>7600</v>
      </c>
      <c r="C20" s="19">
        <f t="shared" si="1"/>
        <v>15200</v>
      </c>
    </row>
    <row r="21" spans="1:3" x14ac:dyDescent="0.25">
      <c r="A21" s="13">
        <f t="shared" si="2"/>
        <v>216.60000000000002</v>
      </c>
      <c r="B21">
        <f t="shared" si="3"/>
        <v>9120</v>
      </c>
      <c r="C21" s="19">
        <f t="shared" si="1"/>
        <v>18240</v>
      </c>
    </row>
    <row r="22" spans="1:3" x14ac:dyDescent="0.25">
      <c r="A22" s="13">
        <f t="shared" si="2"/>
        <v>180.50000000000003</v>
      </c>
      <c r="B22">
        <f t="shared" si="3"/>
        <v>10640</v>
      </c>
      <c r="C22" s="19">
        <f t="shared" si="1"/>
        <v>21280</v>
      </c>
    </row>
    <row r="23" spans="1:3" x14ac:dyDescent="0.25">
      <c r="A23" s="13">
        <f t="shared" si="2"/>
        <v>135.37500000000003</v>
      </c>
      <c r="B23">
        <f t="shared" si="3"/>
        <v>12160</v>
      </c>
      <c r="C23" s="19">
        <f t="shared" si="1"/>
        <v>24320</v>
      </c>
    </row>
    <row r="24" spans="1:3" x14ac:dyDescent="0.25">
      <c r="C24" s="19"/>
    </row>
    <row r="25" spans="1:3" x14ac:dyDescent="0.25">
      <c r="A25" s="12">
        <v>90</v>
      </c>
      <c r="C25" s="19"/>
    </row>
    <row r="26" spans="1:3" x14ac:dyDescent="0.25">
      <c r="A26" s="13">
        <f>A4/($A$2/$A$25)^2</f>
        <v>275.39999999999998</v>
      </c>
      <c r="B26">
        <f>B4/($A$2/$A$25)</f>
        <v>0</v>
      </c>
      <c r="C26" s="19">
        <f t="shared" ref="C26:C34" si="4">B26*2</f>
        <v>0</v>
      </c>
    </row>
    <row r="27" spans="1:3" x14ac:dyDescent="0.25">
      <c r="A27" s="13">
        <f>A5/($A$2/$A$25)^2</f>
        <v>271.34999999999997</v>
      </c>
      <c r="B27" s="13">
        <f>B5/($A$2/$A$25)</f>
        <v>1440</v>
      </c>
      <c r="C27" s="19">
        <f t="shared" si="4"/>
        <v>2880</v>
      </c>
    </row>
    <row r="28" spans="1:3" x14ac:dyDescent="0.25">
      <c r="A28" s="13">
        <f>A6/($A$2/$A$25)^2</f>
        <v>259.2</v>
      </c>
      <c r="B28" s="13">
        <f>B6/($A$2/$A$25)</f>
        <v>2880</v>
      </c>
      <c r="C28" s="19">
        <f t="shared" si="4"/>
        <v>5760</v>
      </c>
    </row>
    <row r="29" spans="1:3" x14ac:dyDescent="0.25">
      <c r="A29" s="13">
        <f>A7/($A$2/$A$25)^2</f>
        <v>251.09999999999997</v>
      </c>
      <c r="B29" s="13">
        <f>B7/($A$2/$A$25)</f>
        <v>4320</v>
      </c>
      <c r="C29" s="19">
        <f t="shared" si="4"/>
        <v>8640</v>
      </c>
    </row>
    <row r="30" spans="1:3" x14ac:dyDescent="0.25">
      <c r="A30" s="13">
        <f>A8/($A$2/$A$25)^2</f>
        <v>234.89999999999998</v>
      </c>
      <c r="B30" s="13">
        <f>B8/($A$2/$A$25)</f>
        <v>5760</v>
      </c>
      <c r="C30" s="19">
        <f t="shared" si="4"/>
        <v>11520</v>
      </c>
    </row>
    <row r="31" spans="1:3" x14ac:dyDescent="0.25">
      <c r="A31" s="13">
        <f>A9/($A$2/$A$25)^2</f>
        <v>214.64999999999998</v>
      </c>
      <c r="B31" s="13">
        <f>B9/($A$2/$A$25)</f>
        <v>7200</v>
      </c>
      <c r="C31" s="19">
        <f t="shared" si="4"/>
        <v>14400</v>
      </c>
    </row>
    <row r="32" spans="1:3" x14ac:dyDescent="0.25">
      <c r="A32" s="13">
        <f>A10/($A$2/$A$25)^2</f>
        <v>194.39999999999998</v>
      </c>
      <c r="B32" s="13">
        <f>B10/($A$2/$A$25)</f>
        <v>8640</v>
      </c>
      <c r="C32" s="19">
        <f t="shared" si="4"/>
        <v>17280</v>
      </c>
    </row>
    <row r="33" spans="1:3" x14ac:dyDescent="0.25">
      <c r="A33" s="13">
        <f>A11/($A$2/$A$25)^2</f>
        <v>161.99999999999997</v>
      </c>
      <c r="B33" s="13">
        <f>B11/($A$2/$A$25)</f>
        <v>10080</v>
      </c>
      <c r="C33" s="19">
        <f t="shared" si="4"/>
        <v>20160</v>
      </c>
    </row>
    <row r="34" spans="1:3" x14ac:dyDescent="0.25">
      <c r="A34" s="13">
        <f>A12/($A$2/$A$25)^2</f>
        <v>121.49999999999999</v>
      </c>
      <c r="B34" s="13">
        <f>B12/($A$2/$A$25)</f>
        <v>11520</v>
      </c>
      <c r="C34" s="19">
        <f t="shared" si="4"/>
        <v>23040</v>
      </c>
    </row>
    <row r="35" spans="1:3" x14ac:dyDescent="0.25">
      <c r="A35" s="13"/>
      <c r="B35" s="13"/>
      <c r="C35" s="19"/>
    </row>
    <row r="36" spans="1:3" x14ac:dyDescent="0.25">
      <c r="C36" s="19"/>
    </row>
    <row r="37" spans="1:3" x14ac:dyDescent="0.25">
      <c r="A37" s="14">
        <v>85</v>
      </c>
      <c r="C37" s="19"/>
    </row>
    <row r="38" spans="1:3" x14ac:dyDescent="0.25">
      <c r="A38" s="13">
        <f>A4/($A$2/$A$37)^2</f>
        <v>245.64999999999998</v>
      </c>
      <c r="B38" s="13">
        <f>B4/($A$2/$A$37)</f>
        <v>0</v>
      </c>
      <c r="C38" s="19">
        <f t="shared" ref="C38:C46" si="5">B38*2</f>
        <v>0</v>
      </c>
    </row>
    <row r="39" spans="1:3" x14ac:dyDescent="0.25">
      <c r="A39" s="13">
        <f>A5/($A$2/$A$37)^2</f>
        <v>242.03749999999999</v>
      </c>
      <c r="B39" s="13">
        <f>B5/($A$2/$A$37)</f>
        <v>1360</v>
      </c>
      <c r="C39" s="19">
        <f t="shared" si="5"/>
        <v>2720</v>
      </c>
    </row>
    <row r="40" spans="1:3" x14ac:dyDescent="0.25">
      <c r="A40" s="13">
        <f>A6/($A$2/$A$37)^2</f>
        <v>231.2</v>
      </c>
      <c r="B40" s="13">
        <f>B6/($A$2/$A$37)</f>
        <v>2720</v>
      </c>
      <c r="C40" s="19">
        <f t="shared" si="5"/>
        <v>5440</v>
      </c>
    </row>
    <row r="41" spans="1:3" x14ac:dyDescent="0.25">
      <c r="A41" s="13">
        <f>A7/($A$2/$A$37)^2</f>
        <v>223.97499999999999</v>
      </c>
      <c r="B41" s="13">
        <f>B7/($A$2/$A$37)</f>
        <v>4080</v>
      </c>
      <c r="C41" s="19">
        <f t="shared" si="5"/>
        <v>8160</v>
      </c>
    </row>
    <row r="42" spans="1:3" x14ac:dyDescent="0.25">
      <c r="A42" s="13">
        <f>A8/($A$2/$A$37)^2</f>
        <v>209.52499999999998</v>
      </c>
      <c r="B42" s="13">
        <f>B8/($A$2/$A$37)</f>
        <v>5440</v>
      </c>
      <c r="C42" s="19">
        <f t="shared" si="5"/>
        <v>10880</v>
      </c>
    </row>
    <row r="43" spans="1:3" x14ac:dyDescent="0.25">
      <c r="A43" s="13">
        <f>A9/($A$2/$A$37)^2</f>
        <v>191.46249999999998</v>
      </c>
      <c r="B43" s="13">
        <f>B9/($A$2/$A$37)</f>
        <v>6800</v>
      </c>
      <c r="C43" s="19">
        <f t="shared" si="5"/>
        <v>13600</v>
      </c>
    </row>
    <row r="44" spans="1:3" x14ac:dyDescent="0.25">
      <c r="A44" s="13">
        <f>A10/($A$2/$A$37)^2</f>
        <v>173.39999999999998</v>
      </c>
      <c r="B44" s="13">
        <f>B10/($A$2/$A$37)</f>
        <v>8160</v>
      </c>
      <c r="C44" s="19">
        <f t="shared" si="5"/>
        <v>16320</v>
      </c>
    </row>
    <row r="45" spans="1:3" x14ac:dyDescent="0.25">
      <c r="A45" s="13">
        <f>A11/($A$2/$A$37)^2</f>
        <v>144.5</v>
      </c>
      <c r="B45" s="13">
        <f>B11/($A$2/$A$37)</f>
        <v>9520</v>
      </c>
      <c r="C45" s="19">
        <f t="shared" si="5"/>
        <v>19040</v>
      </c>
    </row>
    <row r="46" spans="1:3" x14ac:dyDescent="0.25">
      <c r="A46" s="13">
        <f>A12/($A$2/$A$37)^2</f>
        <v>108.37499999999999</v>
      </c>
      <c r="B46" s="13">
        <f>B12/($A$2/$A$37)</f>
        <v>10880</v>
      </c>
      <c r="C46" s="19">
        <f t="shared" si="5"/>
        <v>21760</v>
      </c>
    </row>
    <row r="47" spans="1:3" x14ac:dyDescent="0.25">
      <c r="A47" s="13"/>
      <c r="B47" s="13"/>
      <c r="C47" s="19"/>
    </row>
    <row r="48" spans="1:3" x14ac:dyDescent="0.25">
      <c r="C48" s="19"/>
    </row>
    <row r="49" spans="1:3" x14ac:dyDescent="0.25">
      <c r="A49" s="15">
        <v>80</v>
      </c>
      <c r="C49" s="19"/>
    </row>
    <row r="50" spans="1:3" x14ac:dyDescent="0.25">
      <c r="A50" s="13">
        <f>A4/($A$2/$A$49)^2</f>
        <v>217.6</v>
      </c>
      <c r="B50">
        <f>B4/($A$2/$A$49)</f>
        <v>0</v>
      </c>
      <c r="C50" s="19">
        <f t="shared" ref="C50:C58" si="6">B50*2</f>
        <v>0</v>
      </c>
    </row>
    <row r="51" spans="1:3" x14ac:dyDescent="0.25">
      <c r="A51" s="13">
        <f>A5/($A$2/$A$49)^2</f>
        <v>214.4</v>
      </c>
      <c r="B51">
        <f>B5/($A$2/$A$49)</f>
        <v>1280</v>
      </c>
      <c r="C51" s="19">
        <f t="shared" si="6"/>
        <v>2560</v>
      </c>
    </row>
    <row r="52" spans="1:3" x14ac:dyDescent="0.25">
      <c r="A52" s="13">
        <f>A6/($A$2/$A$49)^2</f>
        <v>204.8</v>
      </c>
      <c r="B52">
        <f>B6/($A$2/$A$49)</f>
        <v>2560</v>
      </c>
      <c r="C52" s="19">
        <f t="shared" si="6"/>
        <v>5120</v>
      </c>
    </row>
    <row r="53" spans="1:3" x14ac:dyDescent="0.25">
      <c r="A53" s="13">
        <f>A7/($A$2/$A$49)^2</f>
        <v>198.4</v>
      </c>
      <c r="B53">
        <f>B7/($A$2/$A$49)</f>
        <v>3840</v>
      </c>
      <c r="C53" s="19">
        <f t="shared" si="6"/>
        <v>7680</v>
      </c>
    </row>
    <row r="54" spans="1:3" x14ac:dyDescent="0.25">
      <c r="A54" s="13">
        <f>A8/($A$2/$A$49)^2</f>
        <v>185.6</v>
      </c>
      <c r="B54">
        <f>B8/($A$2/$A$49)</f>
        <v>5120</v>
      </c>
      <c r="C54" s="19">
        <f t="shared" si="6"/>
        <v>10240</v>
      </c>
    </row>
    <row r="55" spans="1:3" x14ac:dyDescent="0.25">
      <c r="A55" s="13">
        <f>A9/($A$2/$A$49)^2</f>
        <v>169.6</v>
      </c>
      <c r="B55">
        <f>B9/($A$2/$A$49)</f>
        <v>6400</v>
      </c>
      <c r="C55" s="19">
        <f t="shared" si="6"/>
        <v>12800</v>
      </c>
    </row>
    <row r="56" spans="1:3" x14ac:dyDescent="0.25">
      <c r="A56" s="13">
        <f>A10/($A$2/$A$49)^2</f>
        <v>153.6</v>
      </c>
      <c r="B56">
        <f>B10/($A$2/$A$49)</f>
        <v>7680</v>
      </c>
      <c r="C56" s="19">
        <f t="shared" si="6"/>
        <v>15360</v>
      </c>
    </row>
    <row r="57" spans="1:3" x14ac:dyDescent="0.25">
      <c r="A57" s="13">
        <f>A11/($A$2/$A$49)^2</f>
        <v>128</v>
      </c>
      <c r="B57">
        <f>B11/($A$2/$A$49)</f>
        <v>8960</v>
      </c>
      <c r="C57" s="19">
        <f t="shared" si="6"/>
        <v>17920</v>
      </c>
    </row>
    <row r="58" spans="1:3" x14ac:dyDescent="0.25">
      <c r="A58" s="13">
        <f>A12/($A$2/$A$49)^2</f>
        <v>96</v>
      </c>
      <c r="B58">
        <f>B12/($A$2/$A$49)</f>
        <v>10240</v>
      </c>
      <c r="C58" s="19">
        <f t="shared" si="6"/>
        <v>20480</v>
      </c>
    </row>
    <row r="61" spans="1:3" x14ac:dyDescent="0.25">
      <c r="A61" s="15">
        <v>75</v>
      </c>
      <c r="C61" s="19"/>
    </row>
    <row r="62" spans="1:3" x14ac:dyDescent="0.25">
      <c r="A62" s="13">
        <f>A4/($A$2/$A$61)^2</f>
        <v>191.25</v>
      </c>
      <c r="B62">
        <f>B4/($A$2/$A$61)</f>
        <v>0</v>
      </c>
      <c r="C62" s="19">
        <f t="shared" ref="C62:C70" si="7">B62*2</f>
        <v>0</v>
      </c>
    </row>
    <row r="63" spans="1:3" x14ac:dyDescent="0.25">
      <c r="A63" s="13">
        <f>A5/($A$2/$A$61)^2</f>
        <v>188.4375</v>
      </c>
      <c r="B63">
        <f>B5/($A$2/$A$61)</f>
        <v>1200</v>
      </c>
      <c r="C63" s="19">
        <f t="shared" si="7"/>
        <v>2400</v>
      </c>
    </row>
    <row r="64" spans="1:3" x14ac:dyDescent="0.25">
      <c r="A64" s="13">
        <f>A6/($A$2/$A$61)^2</f>
        <v>180</v>
      </c>
      <c r="B64">
        <f>B6/($A$2/$A$61)</f>
        <v>2400</v>
      </c>
      <c r="C64" s="19">
        <f t="shared" si="7"/>
        <v>4800</v>
      </c>
    </row>
    <row r="65" spans="1:3" x14ac:dyDescent="0.25">
      <c r="A65" s="13">
        <f>A7/($A$2/$A$61)^2</f>
        <v>174.375</v>
      </c>
      <c r="B65">
        <f>B7/($A$2/$A$61)</f>
        <v>3600</v>
      </c>
      <c r="C65" s="19">
        <f t="shared" si="7"/>
        <v>7200</v>
      </c>
    </row>
    <row r="66" spans="1:3" x14ac:dyDescent="0.25">
      <c r="A66" s="13">
        <f>A8/($A$2/$A$61)^2</f>
        <v>163.125</v>
      </c>
      <c r="B66">
        <f>B8/($A$2/$A$61)</f>
        <v>4800</v>
      </c>
      <c r="C66" s="19">
        <f t="shared" si="7"/>
        <v>9600</v>
      </c>
    </row>
    <row r="67" spans="1:3" x14ac:dyDescent="0.25">
      <c r="A67" s="13">
        <f>A9/($A$2/$A$61)^2</f>
        <v>149.0625</v>
      </c>
      <c r="B67">
        <f>B9/($A$2/$A$61)</f>
        <v>6000</v>
      </c>
      <c r="C67" s="19">
        <f t="shared" si="7"/>
        <v>12000</v>
      </c>
    </row>
    <row r="68" spans="1:3" x14ac:dyDescent="0.25">
      <c r="A68" s="13">
        <f>A10/($A$2/$A$61)^2</f>
        <v>135</v>
      </c>
      <c r="B68">
        <f>B10/($A$2/$A$61)</f>
        <v>7200</v>
      </c>
      <c r="C68" s="19">
        <f t="shared" si="7"/>
        <v>14400</v>
      </c>
    </row>
    <row r="69" spans="1:3" x14ac:dyDescent="0.25">
      <c r="A69" s="13">
        <f>A11/($A$2/$A$61)^2</f>
        <v>112.5</v>
      </c>
      <c r="B69">
        <f>B11/($A$2/$A$61)</f>
        <v>8400</v>
      </c>
      <c r="C69" s="19">
        <f t="shared" si="7"/>
        <v>16800</v>
      </c>
    </row>
    <row r="70" spans="1:3" x14ac:dyDescent="0.25">
      <c r="A70" s="13">
        <f>A12/($A$2/$A$61)^2</f>
        <v>84.375</v>
      </c>
      <c r="B70">
        <f>B12/($A$2/$A$61)</f>
        <v>9600</v>
      </c>
      <c r="C70" s="19">
        <f t="shared" si="7"/>
        <v>19200</v>
      </c>
    </row>
    <row r="73" spans="1:3" x14ac:dyDescent="0.25">
      <c r="A73" s="15">
        <v>70</v>
      </c>
      <c r="C73" s="19"/>
    </row>
    <row r="74" spans="1:3" x14ac:dyDescent="0.25">
      <c r="A74" s="13">
        <f>A4/($A$2/$A$73)^2</f>
        <v>166.6</v>
      </c>
      <c r="B74">
        <f>B4/($A$2/$A$73)</f>
        <v>0</v>
      </c>
      <c r="C74" s="19">
        <f t="shared" ref="C74:C82" si="8">B74*2</f>
        <v>0</v>
      </c>
    </row>
    <row r="75" spans="1:3" x14ac:dyDescent="0.25">
      <c r="A75" s="13">
        <f>A5/($A$2/$A$73)^2</f>
        <v>164.15</v>
      </c>
      <c r="B75">
        <f>B5/($A$2/$A$73)</f>
        <v>1120</v>
      </c>
      <c r="C75" s="19">
        <f t="shared" si="8"/>
        <v>2240</v>
      </c>
    </row>
    <row r="76" spans="1:3" x14ac:dyDescent="0.25">
      <c r="A76" s="13">
        <f>A6/($A$2/$A$73)^2</f>
        <v>156.79999999999998</v>
      </c>
      <c r="B76">
        <f>B6/($A$2/$A$73)</f>
        <v>2240</v>
      </c>
      <c r="C76" s="19">
        <f t="shared" si="8"/>
        <v>4480</v>
      </c>
    </row>
    <row r="77" spans="1:3" x14ac:dyDescent="0.25">
      <c r="A77" s="13">
        <f>A7/($A$2/$A$73)^2</f>
        <v>151.9</v>
      </c>
      <c r="B77">
        <f>B7/($A$2/$A$73)</f>
        <v>3360</v>
      </c>
      <c r="C77" s="19">
        <f t="shared" si="8"/>
        <v>6720</v>
      </c>
    </row>
    <row r="78" spans="1:3" x14ac:dyDescent="0.25">
      <c r="A78" s="13">
        <f>A8/($A$2/$A$73)^2</f>
        <v>142.1</v>
      </c>
      <c r="B78">
        <f>B8/($A$2/$A$73)</f>
        <v>4480</v>
      </c>
      <c r="C78" s="19">
        <f t="shared" si="8"/>
        <v>8960</v>
      </c>
    </row>
    <row r="79" spans="1:3" x14ac:dyDescent="0.25">
      <c r="A79" s="13">
        <f>A9/($A$2/$A$73)^2</f>
        <v>129.85</v>
      </c>
      <c r="B79">
        <f>B9/($A$2/$A$73)</f>
        <v>5600</v>
      </c>
      <c r="C79" s="19">
        <f t="shared" si="8"/>
        <v>11200</v>
      </c>
    </row>
    <row r="80" spans="1:3" x14ac:dyDescent="0.25">
      <c r="A80" s="13">
        <f>A10/($A$2/$A$73)^2</f>
        <v>117.6</v>
      </c>
      <c r="B80">
        <f>B10/($A$2/$A$73)</f>
        <v>6720</v>
      </c>
      <c r="C80" s="19">
        <f t="shared" si="8"/>
        <v>13440</v>
      </c>
    </row>
    <row r="81" spans="1:3" x14ac:dyDescent="0.25">
      <c r="A81" s="13">
        <f>A11/($A$2/$A$73)^2</f>
        <v>98</v>
      </c>
      <c r="B81">
        <f>B11/($A$2/$A$73)</f>
        <v>7840</v>
      </c>
      <c r="C81" s="19">
        <f t="shared" si="8"/>
        <v>15680</v>
      </c>
    </row>
    <row r="82" spans="1:3" x14ac:dyDescent="0.25">
      <c r="A82" s="13">
        <f>A12/($A$2/$A$73)^2</f>
        <v>73.5</v>
      </c>
      <c r="B82">
        <f>B12/($A$2/$A$73)</f>
        <v>8960</v>
      </c>
      <c r="C82" s="19">
        <f t="shared" si="8"/>
        <v>17920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workbookViewId="0">
      <selection activeCell="J40" sqref="J40"/>
    </sheetView>
  </sheetViews>
  <sheetFormatPr defaultRowHeight="15" x14ac:dyDescent="0.25"/>
  <sheetData>
    <row r="1" spans="1:3" x14ac:dyDescent="0.25">
      <c r="A1" t="s">
        <v>17</v>
      </c>
      <c r="B1" t="s">
        <v>31</v>
      </c>
      <c r="C1" t="s">
        <v>32</v>
      </c>
    </row>
    <row r="2" spans="1:3" x14ac:dyDescent="0.25">
      <c r="A2" s="11">
        <v>100</v>
      </c>
    </row>
    <row r="3" spans="1:3" x14ac:dyDescent="0.25">
      <c r="A3" t="s">
        <v>18</v>
      </c>
      <c r="B3" t="s">
        <v>19</v>
      </c>
    </row>
    <row r="4" spans="1:3" x14ac:dyDescent="0.25">
      <c r="A4">
        <v>340</v>
      </c>
      <c r="B4">
        <v>0</v>
      </c>
      <c r="C4" s="19">
        <f>B4*3</f>
        <v>0</v>
      </c>
    </row>
    <row r="5" spans="1:3" x14ac:dyDescent="0.25">
      <c r="A5">
        <v>335</v>
      </c>
      <c r="B5">
        <v>1600</v>
      </c>
      <c r="C5" s="19">
        <f t="shared" ref="C5:C12" si="0">B5*3</f>
        <v>4800</v>
      </c>
    </row>
    <row r="6" spans="1:3" x14ac:dyDescent="0.25">
      <c r="A6">
        <v>320</v>
      </c>
      <c r="B6">
        <v>3200</v>
      </c>
      <c r="C6" s="19">
        <f t="shared" si="0"/>
        <v>9600</v>
      </c>
    </row>
    <row r="7" spans="1:3" x14ac:dyDescent="0.25">
      <c r="A7">
        <v>310</v>
      </c>
      <c r="B7">
        <v>4800</v>
      </c>
      <c r="C7" s="19">
        <f t="shared" si="0"/>
        <v>14400</v>
      </c>
    </row>
    <row r="8" spans="1:3" x14ac:dyDescent="0.25">
      <c r="A8">
        <v>290</v>
      </c>
      <c r="B8">
        <v>6400</v>
      </c>
      <c r="C8" s="19">
        <f t="shared" si="0"/>
        <v>19200</v>
      </c>
    </row>
    <row r="9" spans="1:3" x14ac:dyDescent="0.25">
      <c r="A9">
        <v>265</v>
      </c>
      <c r="B9">
        <v>8000</v>
      </c>
      <c r="C9" s="19">
        <f t="shared" si="0"/>
        <v>24000</v>
      </c>
    </row>
    <row r="10" spans="1:3" x14ac:dyDescent="0.25">
      <c r="A10">
        <v>240</v>
      </c>
      <c r="B10">
        <v>9600</v>
      </c>
      <c r="C10" s="19">
        <f t="shared" si="0"/>
        <v>28800</v>
      </c>
    </row>
    <row r="11" spans="1:3" x14ac:dyDescent="0.25">
      <c r="A11">
        <v>200</v>
      </c>
      <c r="B11">
        <v>11200</v>
      </c>
      <c r="C11" s="19">
        <f t="shared" si="0"/>
        <v>33600</v>
      </c>
    </row>
    <row r="12" spans="1:3" x14ac:dyDescent="0.25">
      <c r="A12">
        <v>150</v>
      </c>
      <c r="B12">
        <v>12800</v>
      </c>
      <c r="C12" s="19">
        <f t="shared" si="0"/>
        <v>38400</v>
      </c>
    </row>
    <row r="13" spans="1:3" x14ac:dyDescent="0.25">
      <c r="C13" s="19"/>
    </row>
    <row r="14" spans="1:3" x14ac:dyDescent="0.25">
      <c r="C14" s="19"/>
    </row>
    <row r="15" spans="1:3" x14ac:dyDescent="0.25">
      <c r="A15" s="12">
        <v>90</v>
      </c>
      <c r="C15" s="19"/>
    </row>
    <row r="16" spans="1:3" x14ac:dyDescent="0.25">
      <c r="A16" s="13">
        <f>A4/($A$2/$A$15)^2</f>
        <v>275.39999999999998</v>
      </c>
      <c r="B16">
        <f>B4/($A$2/$A$15)</f>
        <v>0</v>
      </c>
      <c r="C16" s="19">
        <f>B16*3</f>
        <v>0</v>
      </c>
    </row>
    <row r="17" spans="1:3" x14ac:dyDescent="0.25">
      <c r="A17" s="13">
        <f t="shared" ref="A17:A24" si="1">A5/($A$2/$A$15)^2</f>
        <v>271.34999999999997</v>
      </c>
      <c r="B17" s="13">
        <f t="shared" ref="B17:B24" si="2">B5/($A$2/$A$15)</f>
        <v>1440</v>
      </c>
      <c r="C17" s="19">
        <f t="shared" ref="C17:C24" si="3">B17*3</f>
        <v>4320</v>
      </c>
    </row>
    <row r="18" spans="1:3" x14ac:dyDescent="0.25">
      <c r="A18" s="13">
        <f t="shared" si="1"/>
        <v>259.2</v>
      </c>
      <c r="B18" s="13">
        <f t="shared" si="2"/>
        <v>2880</v>
      </c>
      <c r="C18" s="19">
        <f t="shared" si="3"/>
        <v>8640</v>
      </c>
    </row>
    <row r="19" spans="1:3" x14ac:dyDescent="0.25">
      <c r="A19" s="13">
        <f t="shared" si="1"/>
        <v>251.09999999999997</v>
      </c>
      <c r="B19" s="13">
        <f t="shared" si="2"/>
        <v>4320</v>
      </c>
      <c r="C19" s="19">
        <f t="shared" si="3"/>
        <v>12960</v>
      </c>
    </row>
    <row r="20" spans="1:3" x14ac:dyDescent="0.25">
      <c r="A20" s="13">
        <f t="shared" si="1"/>
        <v>234.89999999999998</v>
      </c>
      <c r="B20" s="13">
        <f t="shared" si="2"/>
        <v>5760</v>
      </c>
      <c r="C20" s="19">
        <f t="shared" si="3"/>
        <v>17280</v>
      </c>
    </row>
    <row r="21" spans="1:3" x14ac:dyDescent="0.25">
      <c r="A21" s="13">
        <f t="shared" si="1"/>
        <v>214.64999999999998</v>
      </c>
      <c r="B21" s="13">
        <f t="shared" si="2"/>
        <v>7200</v>
      </c>
      <c r="C21" s="19">
        <f t="shared" si="3"/>
        <v>21600</v>
      </c>
    </row>
    <row r="22" spans="1:3" x14ac:dyDescent="0.25">
      <c r="A22" s="13">
        <f t="shared" si="1"/>
        <v>194.39999999999998</v>
      </c>
      <c r="B22" s="13">
        <f t="shared" si="2"/>
        <v>8640</v>
      </c>
      <c r="C22" s="19">
        <f t="shared" si="3"/>
        <v>25920</v>
      </c>
    </row>
    <row r="23" spans="1:3" x14ac:dyDescent="0.25">
      <c r="A23" s="13">
        <f t="shared" si="1"/>
        <v>161.99999999999997</v>
      </c>
      <c r="B23" s="13">
        <f t="shared" si="2"/>
        <v>10080</v>
      </c>
      <c r="C23" s="19">
        <f t="shared" si="3"/>
        <v>30240</v>
      </c>
    </row>
    <row r="24" spans="1:3" x14ac:dyDescent="0.25">
      <c r="A24" s="13">
        <f t="shared" si="1"/>
        <v>121.49999999999999</v>
      </c>
      <c r="B24" s="13">
        <f t="shared" si="2"/>
        <v>11520</v>
      </c>
      <c r="C24" s="19">
        <f t="shared" si="3"/>
        <v>34560</v>
      </c>
    </row>
    <row r="25" spans="1:3" x14ac:dyDescent="0.25">
      <c r="A25" s="13"/>
      <c r="B25" s="13"/>
      <c r="C25" s="19"/>
    </row>
    <row r="26" spans="1:3" x14ac:dyDescent="0.25">
      <c r="C26" s="19"/>
    </row>
    <row r="27" spans="1:3" x14ac:dyDescent="0.25">
      <c r="A27" s="14">
        <v>85</v>
      </c>
      <c r="C27" s="19"/>
    </row>
    <row r="28" spans="1:3" x14ac:dyDescent="0.25">
      <c r="A28" s="13">
        <f>A4/($A$2/$A$27)^2</f>
        <v>245.64999999999998</v>
      </c>
      <c r="B28" s="13">
        <f>B4/($A$2/$A$27)</f>
        <v>0</v>
      </c>
      <c r="C28" s="19">
        <f>B28*3</f>
        <v>0</v>
      </c>
    </row>
    <row r="29" spans="1:3" x14ac:dyDescent="0.25">
      <c r="A29" s="13">
        <f t="shared" ref="A29:A36" si="4">A5/($A$2/$A$27)^2</f>
        <v>242.03749999999999</v>
      </c>
      <c r="B29" s="13">
        <f t="shared" ref="B29:B36" si="5">B5/($A$2/$A$27)</f>
        <v>1360</v>
      </c>
      <c r="C29" s="19">
        <f t="shared" ref="C29:C36" si="6">B29*3</f>
        <v>4080</v>
      </c>
    </row>
    <row r="30" spans="1:3" x14ac:dyDescent="0.25">
      <c r="A30" s="13">
        <f t="shared" si="4"/>
        <v>231.2</v>
      </c>
      <c r="B30" s="13">
        <f t="shared" si="5"/>
        <v>2720</v>
      </c>
      <c r="C30" s="19">
        <f t="shared" si="6"/>
        <v>8160</v>
      </c>
    </row>
    <row r="31" spans="1:3" x14ac:dyDescent="0.25">
      <c r="A31" s="13">
        <f t="shared" si="4"/>
        <v>223.97499999999999</v>
      </c>
      <c r="B31" s="13">
        <f t="shared" si="5"/>
        <v>4080</v>
      </c>
      <c r="C31" s="19">
        <f t="shared" si="6"/>
        <v>12240</v>
      </c>
    </row>
    <row r="32" spans="1:3" x14ac:dyDescent="0.25">
      <c r="A32" s="13">
        <f t="shared" si="4"/>
        <v>209.52499999999998</v>
      </c>
      <c r="B32" s="13">
        <f t="shared" si="5"/>
        <v>5440</v>
      </c>
      <c r="C32" s="19">
        <f t="shared" si="6"/>
        <v>16320</v>
      </c>
    </row>
    <row r="33" spans="1:3" x14ac:dyDescent="0.25">
      <c r="A33" s="13">
        <f t="shared" si="4"/>
        <v>191.46249999999998</v>
      </c>
      <c r="B33" s="13">
        <f t="shared" si="5"/>
        <v>6800</v>
      </c>
      <c r="C33" s="19">
        <f t="shared" si="6"/>
        <v>20400</v>
      </c>
    </row>
    <row r="34" spans="1:3" x14ac:dyDescent="0.25">
      <c r="A34" s="13">
        <f t="shared" si="4"/>
        <v>173.39999999999998</v>
      </c>
      <c r="B34" s="13">
        <f t="shared" si="5"/>
        <v>8160</v>
      </c>
      <c r="C34" s="19">
        <f t="shared" si="6"/>
        <v>24480</v>
      </c>
    </row>
    <row r="35" spans="1:3" x14ac:dyDescent="0.25">
      <c r="A35" s="13">
        <f t="shared" si="4"/>
        <v>144.5</v>
      </c>
      <c r="B35" s="13">
        <f t="shared" si="5"/>
        <v>9520</v>
      </c>
      <c r="C35" s="19">
        <f t="shared" si="6"/>
        <v>28560</v>
      </c>
    </row>
    <row r="36" spans="1:3" x14ac:dyDescent="0.25">
      <c r="A36" s="13">
        <f t="shared" si="4"/>
        <v>108.37499999999999</v>
      </c>
      <c r="B36" s="13">
        <f t="shared" si="5"/>
        <v>10880</v>
      </c>
      <c r="C36" s="19">
        <f t="shared" si="6"/>
        <v>32640</v>
      </c>
    </row>
    <row r="37" spans="1:3" x14ac:dyDescent="0.25">
      <c r="A37" s="13"/>
      <c r="B37" s="13"/>
      <c r="C37" s="19"/>
    </row>
    <row r="38" spans="1:3" x14ac:dyDescent="0.25">
      <c r="C38" s="19"/>
    </row>
    <row r="39" spans="1:3" x14ac:dyDescent="0.25">
      <c r="A39" s="15">
        <v>80</v>
      </c>
      <c r="C39" s="19"/>
    </row>
    <row r="40" spans="1:3" x14ac:dyDescent="0.25">
      <c r="A40" s="13">
        <f>A4/($A$2/$A$39)^2</f>
        <v>217.6</v>
      </c>
      <c r="B40">
        <f>B4/($A$2/$A$39)</f>
        <v>0</v>
      </c>
      <c r="C40" s="19">
        <f>B40*3</f>
        <v>0</v>
      </c>
    </row>
    <row r="41" spans="1:3" x14ac:dyDescent="0.25">
      <c r="A41" s="13">
        <f t="shared" ref="A41:A48" si="7">A5/($A$2/$A$39)^2</f>
        <v>214.4</v>
      </c>
      <c r="B41">
        <f t="shared" ref="B41:B48" si="8">B5/($A$2/$A$39)</f>
        <v>1280</v>
      </c>
      <c r="C41" s="19">
        <f t="shared" ref="C41:C48" si="9">B41*3</f>
        <v>3840</v>
      </c>
    </row>
    <row r="42" spans="1:3" x14ac:dyDescent="0.25">
      <c r="A42" s="13">
        <f t="shared" si="7"/>
        <v>204.8</v>
      </c>
      <c r="B42">
        <f t="shared" si="8"/>
        <v>2560</v>
      </c>
      <c r="C42" s="19">
        <f t="shared" si="9"/>
        <v>7680</v>
      </c>
    </row>
    <row r="43" spans="1:3" x14ac:dyDescent="0.25">
      <c r="A43" s="13">
        <f t="shared" si="7"/>
        <v>198.4</v>
      </c>
      <c r="B43">
        <f t="shared" si="8"/>
        <v>3840</v>
      </c>
      <c r="C43" s="19">
        <f t="shared" si="9"/>
        <v>11520</v>
      </c>
    </row>
    <row r="44" spans="1:3" x14ac:dyDescent="0.25">
      <c r="A44" s="13">
        <f t="shared" si="7"/>
        <v>185.6</v>
      </c>
      <c r="B44">
        <f t="shared" si="8"/>
        <v>5120</v>
      </c>
      <c r="C44" s="19">
        <f t="shared" si="9"/>
        <v>15360</v>
      </c>
    </row>
    <row r="45" spans="1:3" x14ac:dyDescent="0.25">
      <c r="A45" s="13">
        <f t="shared" si="7"/>
        <v>169.6</v>
      </c>
      <c r="B45">
        <f t="shared" si="8"/>
        <v>6400</v>
      </c>
      <c r="C45" s="19">
        <f t="shared" si="9"/>
        <v>19200</v>
      </c>
    </row>
    <row r="46" spans="1:3" x14ac:dyDescent="0.25">
      <c r="A46" s="13">
        <f t="shared" si="7"/>
        <v>153.6</v>
      </c>
      <c r="B46">
        <f t="shared" si="8"/>
        <v>7680</v>
      </c>
      <c r="C46" s="19">
        <f t="shared" si="9"/>
        <v>23040</v>
      </c>
    </row>
    <row r="47" spans="1:3" x14ac:dyDescent="0.25">
      <c r="A47" s="13">
        <f t="shared" si="7"/>
        <v>128</v>
      </c>
      <c r="B47">
        <f t="shared" si="8"/>
        <v>8960</v>
      </c>
      <c r="C47" s="19">
        <f t="shared" si="9"/>
        <v>26880</v>
      </c>
    </row>
    <row r="48" spans="1:3" x14ac:dyDescent="0.25">
      <c r="A48" s="13">
        <f t="shared" si="7"/>
        <v>96</v>
      </c>
      <c r="B48">
        <f t="shared" si="8"/>
        <v>10240</v>
      </c>
      <c r="C48" s="19">
        <f t="shared" si="9"/>
        <v>30720</v>
      </c>
    </row>
    <row r="51" spans="1:3" x14ac:dyDescent="0.25">
      <c r="A51" s="15">
        <v>75</v>
      </c>
      <c r="C51" s="19"/>
    </row>
    <row r="52" spans="1:3" x14ac:dyDescent="0.25">
      <c r="A52" s="13">
        <f>A4/($A$2/$A$51)^2</f>
        <v>191.25</v>
      </c>
      <c r="B52">
        <f>B4/($A$2/$A$51)</f>
        <v>0</v>
      </c>
      <c r="C52" s="19">
        <f>B52*3</f>
        <v>0</v>
      </c>
    </row>
    <row r="53" spans="1:3" x14ac:dyDescent="0.25">
      <c r="A53" s="13">
        <f t="shared" ref="A53:A60" si="10">A5/($A$2/$A$51)^2</f>
        <v>188.4375</v>
      </c>
      <c r="B53">
        <f t="shared" ref="B53:B60" si="11">B5/($A$2/$A$51)</f>
        <v>1200</v>
      </c>
      <c r="C53" s="19">
        <f t="shared" ref="C53:C60" si="12">B53*3</f>
        <v>3600</v>
      </c>
    </row>
    <row r="54" spans="1:3" x14ac:dyDescent="0.25">
      <c r="A54" s="13">
        <f t="shared" si="10"/>
        <v>180</v>
      </c>
      <c r="B54">
        <f t="shared" si="11"/>
        <v>2400</v>
      </c>
      <c r="C54" s="19">
        <f t="shared" si="12"/>
        <v>7200</v>
      </c>
    </row>
    <row r="55" spans="1:3" x14ac:dyDescent="0.25">
      <c r="A55" s="13">
        <f t="shared" si="10"/>
        <v>174.375</v>
      </c>
      <c r="B55">
        <f t="shared" si="11"/>
        <v>3600</v>
      </c>
      <c r="C55" s="19">
        <f t="shared" si="12"/>
        <v>10800</v>
      </c>
    </row>
    <row r="56" spans="1:3" x14ac:dyDescent="0.25">
      <c r="A56" s="13">
        <f t="shared" si="10"/>
        <v>163.125</v>
      </c>
      <c r="B56">
        <f t="shared" si="11"/>
        <v>4800</v>
      </c>
      <c r="C56" s="19">
        <f t="shared" si="12"/>
        <v>14400</v>
      </c>
    </row>
    <row r="57" spans="1:3" x14ac:dyDescent="0.25">
      <c r="A57" s="13">
        <f t="shared" si="10"/>
        <v>149.0625</v>
      </c>
      <c r="B57">
        <f t="shared" si="11"/>
        <v>6000</v>
      </c>
      <c r="C57" s="19">
        <f t="shared" si="12"/>
        <v>18000</v>
      </c>
    </row>
    <row r="58" spans="1:3" x14ac:dyDescent="0.25">
      <c r="A58" s="13">
        <f t="shared" si="10"/>
        <v>135</v>
      </c>
      <c r="B58">
        <f t="shared" si="11"/>
        <v>7200</v>
      </c>
      <c r="C58" s="19">
        <f t="shared" si="12"/>
        <v>21600</v>
      </c>
    </row>
    <row r="59" spans="1:3" x14ac:dyDescent="0.25">
      <c r="A59" s="13">
        <f t="shared" si="10"/>
        <v>112.5</v>
      </c>
      <c r="B59">
        <f t="shared" si="11"/>
        <v>8400</v>
      </c>
      <c r="C59" s="19">
        <f t="shared" si="12"/>
        <v>25200</v>
      </c>
    </row>
    <row r="60" spans="1:3" x14ac:dyDescent="0.25">
      <c r="A60" s="13">
        <f t="shared" si="10"/>
        <v>84.375</v>
      </c>
      <c r="B60">
        <f t="shared" si="11"/>
        <v>9600</v>
      </c>
      <c r="C60" s="19">
        <f t="shared" si="12"/>
        <v>28800</v>
      </c>
    </row>
    <row r="63" spans="1:3" x14ac:dyDescent="0.25">
      <c r="A63" s="15">
        <v>70</v>
      </c>
      <c r="C63" s="19"/>
    </row>
    <row r="64" spans="1:3" x14ac:dyDescent="0.25">
      <c r="A64" s="13">
        <f>A4/($A$2/$A$63)^2</f>
        <v>166.6</v>
      </c>
      <c r="B64">
        <f>B4/($A$2/$A$63)</f>
        <v>0</v>
      </c>
      <c r="C64" s="19">
        <f>B64*3</f>
        <v>0</v>
      </c>
    </row>
    <row r="65" spans="1:3" x14ac:dyDescent="0.25">
      <c r="A65" s="13">
        <f t="shared" ref="A65:A72" si="13">A5/($A$2/$A$63)^2</f>
        <v>164.15</v>
      </c>
      <c r="B65">
        <f t="shared" ref="B65:B72" si="14">B5/($A$2/$A$63)</f>
        <v>1120</v>
      </c>
      <c r="C65" s="19">
        <f t="shared" ref="C65:C72" si="15">B65*3</f>
        <v>3360</v>
      </c>
    </row>
    <row r="66" spans="1:3" x14ac:dyDescent="0.25">
      <c r="A66" s="13">
        <f t="shared" si="13"/>
        <v>156.79999999999998</v>
      </c>
      <c r="B66">
        <f t="shared" si="14"/>
        <v>2240</v>
      </c>
      <c r="C66" s="19">
        <f t="shared" si="15"/>
        <v>6720</v>
      </c>
    </row>
    <row r="67" spans="1:3" x14ac:dyDescent="0.25">
      <c r="A67" s="13">
        <f t="shared" si="13"/>
        <v>151.9</v>
      </c>
      <c r="B67">
        <f t="shared" si="14"/>
        <v>3360</v>
      </c>
      <c r="C67" s="19">
        <f t="shared" si="15"/>
        <v>10080</v>
      </c>
    </row>
    <row r="68" spans="1:3" x14ac:dyDescent="0.25">
      <c r="A68" s="13">
        <f t="shared" si="13"/>
        <v>142.1</v>
      </c>
      <c r="B68">
        <f t="shared" si="14"/>
        <v>4480</v>
      </c>
      <c r="C68" s="19">
        <f t="shared" si="15"/>
        <v>13440</v>
      </c>
    </row>
    <row r="69" spans="1:3" x14ac:dyDescent="0.25">
      <c r="A69" s="13">
        <f t="shared" si="13"/>
        <v>129.85</v>
      </c>
      <c r="B69">
        <f t="shared" si="14"/>
        <v>5600</v>
      </c>
      <c r="C69" s="19">
        <f t="shared" si="15"/>
        <v>16800</v>
      </c>
    </row>
    <row r="70" spans="1:3" x14ac:dyDescent="0.25">
      <c r="A70" s="13">
        <f t="shared" si="13"/>
        <v>117.6</v>
      </c>
      <c r="B70">
        <f t="shared" si="14"/>
        <v>6720</v>
      </c>
      <c r="C70" s="19">
        <f t="shared" si="15"/>
        <v>20160</v>
      </c>
    </row>
    <row r="71" spans="1:3" x14ac:dyDescent="0.25">
      <c r="A71" s="13">
        <f t="shared" si="13"/>
        <v>98</v>
      </c>
      <c r="B71">
        <f t="shared" si="14"/>
        <v>7840</v>
      </c>
      <c r="C71" s="19">
        <f t="shared" si="15"/>
        <v>23520</v>
      </c>
    </row>
    <row r="72" spans="1:3" x14ac:dyDescent="0.25">
      <c r="A72" s="13">
        <f t="shared" si="13"/>
        <v>73.5</v>
      </c>
      <c r="B72">
        <f t="shared" si="14"/>
        <v>8960</v>
      </c>
      <c r="C72" s="19">
        <f t="shared" si="15"/>
        <v>26880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3:T47"/>
  <sheetViews>
    <sheetView topLeftCell="B1" workbookViewId="0">
      <selection activeCell="H42" sqref="C36:H42"/>
    </sheetView>
  </sheetViews>
  <sheetFormatPr defaultRowHeight="15" x14ac:dyDescent="0.25"/>
  <cols>
    <col min="8" max="8" width="10.7109375" bestFit="1" customWidth="1"/>
    <col min="15" max="15" width="10.7109375" bestFit="1" customWidth="1"/>
    <col min="16" max="16" width="10.5703125" bestFit="1" customWidth="1"/>
    <col min="18" max="18" width="2.7109375" customWidth="1"/>
  </cols>
  <sheetData>
    <row r="3" spans="8:20" x14ac:dyDescent="0.25">
      <c r="S3" s="29">
        <f>AVERAGE(S5:S23)</f>
        <v>4.0325441066226639E-2</v>
      </c>
      <c r="T3" s="29">
        <f>AVERAGE(T5:T23)</f>
        <v>-7.077141293204528E-2</v>
      </c>
    </row>
    <row r="4" spans="8:20" x14ac:dyDescent="0.25">
      <c r="J4" t="s">
        <v>33</v>
      </c>
      <c r="K4" t="s">
        <v>36</v>
      </c>
      <c r="L4" t="s">
        <v>34</v>
      </c>
      <c r="M4" t="s">
        <v>35</v>
      </c>
      <c r="O4" t="s">
        <v>37</v>
      </c>
      <c r="P4" t="s">
        <v>38</v>
      </c>
    </row>
    <row r="5" spans="8:20" x14ac:dyDescent="0.25">
      <c r="H5" s="24">
        <v>42152</v>
      </c>
      <c r="I5" s="28">
        <v>0.66666666666666663</v>
      </c>
      <c r="J5">
        <v>24.94</v>
      </c>
      <c r="K5" s="21">
        <v>0.92800000000000005</v>
      </c>
      <c r="L5" s="21">
        <v>0.75</v>
      </c>
      <c r="M5" s="21">
        <v>0.75</v>
      </c>
      <c r="N5" s="21"/>
      <c r="O5" s="19">
        <v>8500</v>
      </c>
      <c r="P5" s="19">
        <v>8500</v>
      </c>
      <c r="Q5" s="31">
        <f>O5-P5</f>
        <v>0</v>
      </c>
      <c r="S5" s="21">
        <f>(P5-O5)/P5</f>
        <v>0</v>
      </c>
      <c r="T5" s="21">
        <f>(O5-P5)/O5</f>
        <v>0</v>
      </c>
    </row>
    <row r="6" spans="8:20" x14ac:dyDescent="0.25">
      <c r="H6" s="24">
        <v>42153</v>
      </c>
      <c r="I6" s="28">
        <v>0.45833333333333331</v>
      </c>
      <c r="J6">
        <v>21.2</v>
      </c>
      <c r="K6" s="21">
        <v>0.61499999999999999</v>
      </c>
      <c r="L6" s="21">
        <v>0.84</v>
      </c>
      <c r="M6" s="32" t="s">
        <v>39</v>
      </c>
      <c r="N6" s="32"/>
      <c r="O6" s="19">
        <v>8055</v>
      </c>
      <c r="P6" s="19">
        <v>8750</v>
      </c>
      <c r="Q6" s="31">
        <f t="shared" ref="Q6:Q8" si="0">O6-P6</f>
        <v>-695</v>
      </c>
      <c r="S6" s="21">
        <f t="shared" ref="S6:S8" si="1">(P6-O6)/P6</f>
        <v>7.9428571428571432E-2</v>
      </c>
      <c r="T6" s="21">
        <f t="shared" ref="T6:T8" si="2">(O6-P6)/O6</f>
        <v>-8.6281812538795785E-2</v>
      </c>
    </row>
    <row r="7" spans="8:20" x14ac:dyDescent="0.25">
      <c r="H7" s="24">
        <v>42153</v>
      </c>
      <c r="I7" s="28">
        <v>0.47222222222222227</v>
      </c>
      <c r="J7">
        <v>21.3</v>
      </c>
      <c r="K7" s="21">
        <v>0.64300000000000002</v>
      </c>
      <c r="L7" s="21">
        <v>0.75</v>
      </c>
      <c r="M7" s="21">
        <v>0.75</v>
      </c>
      <c r="N7" s="21"/>
      <c r="O7" s="19">
        <v>8883</v>
      </c>
      <c r="P7" s="19">
        <v>9000</v>
      </c>
      <c r="Q7" s="31">
        <f t="shared" si="0"/>
        <v>-117</v>
      </c>
      <c r="S7" s="21">
        <f t="shared" si="1"/>
        <v>1.2999999999999999E-2</v>
      </c>
      <c r="T7" s="21">
        <f t="shared" si="2"/>
        <v>-1.3171225937183385E-2</v>
      </c>
    </row>
    <row r="8" spans="8:20" x14ac:dyDescent="0.25">
      <c r="H8" s="24">
        <v>42156</v>
      </c>
      <c r="I8" s="28">
        <v>0.54027777777777775</v>
      </c>
      <c r="J8">
        <v>15.1</v>
      </c>
      <c r="K8" s="21">
        <v>0.874</v>
      </c>
      <c r="L8" s="21">
        <v>0.75</v>
      </c>
      <c r="M8" s="21">
        <v>0.75</v>
      </c>
      <c r="N8" s="21"/>
      <c r="O8" s="19">
        <v>8900</v>
      </c>
      <c r="P8" s="19">
        <v>8000</v>
      </c>
      <c r="Q8" s="31">
        <f t="shared" si="0"/>
        <v>900</v>
      </c>
      <c r="S8" s="21">
        <f t="shared" si="1"/>
        <v>-0.1125</v>
      </c>
      <c r="T8" s="21">
        <f t="shared" si="2"/>
        <v>0.10112359550561797</v>
      </c>
    </row>
    <row r="10" spans="8:20" x14ac:dyDescent="0.25">
      <c r="O10" s="19"/>
      <c r="P10" s="19"/>
    </row>
    <row r="11" spans="8:20" x14ac:dyDescent="0.25">
      <c r="O11" s="19"/>
      <c r="P11" s="19"/>
    </row>
    <row r="12" spans="8:20" x14ac:dyDescent="0.25">
      <c r="O12" s="19"/>
      <c r="P12" s="19"/>
    </row>
    <row r="13" spans="8:20" x14ac:dyDescent="0.25">
      <c r="O13" s="30"/>
      <c r="P13" s="30"/>
    </row>
    <row r="14" spans="8:20" x14ac:dyDescent="0.25">
      <c r="J14" t="s">
        <v>33</v>
      </c>
      <c r="K14" t="s">
        <v>36</v>
      </c>
      <c r="L14" t="s">
        <v>34</v>
      </c>
      <c r="M14" t="s">
        <v>35</v>
      </c>
      <c r="N14" t="s">
        <v>40</v>
      </c>
      <c r="O14" t="s">
        <v>37</v>
      </c>
      <c r="P14" t="s">
        <v>38</v>
      </c>
    </row>
    <row r="15" spans="8:20" x14ac:dyDescent="0.25">
      <c r="H15" s="24">
        <v>42157</v>
      </c>
      <c r="I15" s="28">
        <v>0.32500000000000001</v>
      </c>
      <c r="J15" s="35">
        <v>19</v>
      </c>
      <c r="K15" s="21">
        <v>0.6</v>
      </c>
      <c r="L15" s="21">
        <v>0.81</v>
      </c>
      <c r="M15" s="21">
        <v>0.79</v>
      </c>
      <c r="N15" s="21"/>
      <c r="O15" s="30">
        <v>11355</v>
      </c>
      <c r="P15" s="30">
        <v>10800</v>
      </c>
      <c r="Q15" s="31">
        <f t="shared" ref="Q15:Q31" si="3">O15-P15</f>
        <v>555</v>
      </c>
      <c r="S15" s="21">
        <f t="shared" ref="S15:S31" si="4">(P15-O15)/P15</f>
        <v>-5.1388888888888887E-2</v>
      </c>
      <c r="T15" s="21">
        <f t="shared" ref="T15:T31" si="5">(O15-P15)/O15</f>
        <v>4.8877146631439897E-2</v>
      </c>
    </row>
    <row r="16" spans="8:20" x14ac:dyDescent="0.25">
      <c r="H16" s="24">
        <v>42158</v>
      </c>
      <c r="I16" s="28">
        <v>0.375</v>
      </c>
      <c r="J16">
        <v>26.8</v>
      </c>
      <c r="K16" s="21">
        <v>0.7</v>
      </c>
      <c r="L16" s="33">
        <v>0.72</v>
      </c>
      <c r="M16" s="33">
        <v>0.71</v>
      </c>
      <c r="N16" t="s">
        <v>39</v>
      </c>
      <c r="O16" s="30">
        <v>7615</v>
      </c>
      <c r="P16" s="30">
        <v>7500</v>
      </c>
      <c r="Q16" s="31">
        <f t="shared" si="3"/>
        <v>115</v>
      </c>
      <c r="S16" s="21">
        <f t="shared" si="4"/>
        <v>-1.5333333333333332E-2</v>
      </c>
      <c r="T16" s="21">
        <f t="shared" si="5"/>
        <v>1.5101772816808929E-2</v>
      </c>
    </row>
    <row r="17" spans="8:20" x14ac:dyDescent="0.25">
      <c r="H17" s="24">
        <v>42158</v>
      </c>
      <c r="I17" s="28">
        <v>0.38055555555555554</v>
      </c>
      <c r="J17">
        <v>26.8</v>
      </c>
      <c r="K17" s="21">
        <v>0.70699999999999996</v>
      </c>
      <c r="L17" s="21">
        <v>0.75</v>
      </c>
      <c r="M17" s="21">
        <v>0.74</v>
      </c>
      <c r="N17" t="s">
        <v>39</v>
      </c>
      <c r="O17" s="30">
        <v>9714</v>
      </c>
      <c r="P17" s="30">
        <v>9300</v>
      </c>
      <c r="Q17" s="31">
        <f t="shared" si="3"/>
        <v>414</v>
      </c>
      <c r="S17" s="21">
        <f t="shared" si="4"/>
        <v>-4.4516129032258066E-2</v>
      </c>
      <c r="T17" s="21">
        <f t="shared" si="5"/>
        <v>4.2618900555898703E-2</v>
      </c>
    </row>
    <row r="18" spans="8:20" x14ac:dyDescent="0.25">
      <c r="H18" s="24">
        <v>42159</v>
      </c>
      <c r="I18" s="28">
        <v>0.31597222222222221</v>
      </c>
      <c r="J18">
        <v>26.4</v>
      </c>
      <c r="K18" s="21">
        <v>0.749</v>
      </c>
      <c r="L18" s="21">
        <v>0.75</v>
      </c>
      <c r="M18" s="21">
        <v>0.73</v>
      </c>
      <c r="N18" s="21" t="s">
        <v>39</v>
      </c>
      <c r="O18" s="30">
        <v>9033</v>
      </c>
      <c r="P18" s="30">
        <v>9100</v>
      </c>
      <c r="Q18" s="31">
        <f t="shared" si="3"/>
        <v>-67</v>
      </c>
      <c r="S18" s="21">
        <f t="shared" si="4"/>
        <v>7.3626373626373628E-3</v>
      </c>
      <c r="T18" s="21">
        <f t="shared" si="5"/>
        <v>-7.4172478689250526E-3</v>
      </c>
    </row>
    <row r="19" spans="8:20" x14ac:dyDescent="0.25">
      <c r="H19" s="24">
        <v>42160</v>
      </c>
      <c r="I19" s="28">
        <v>0.30694444444444441</v>
      </c>
      <c r="J19">
        <v>20.7</v>
      </c>
      <c r="K19" s="21">
        <v>0.63900000000000001</v>
      </c>
      <c r="L19" s="21">
        <v>0.77</v>
      </c>
      <c r="M19" s="21">
        <v>0.75</v>
      </c>
      <c r="N19" t="s">
        <v>39</v>
      </c>
      <c r="O19" s="30">
        <v>9916</v>
      </c>
      <c r="P19" s="30">
        <v>9000</v>
      </c>
      <c r="Q19" s="31">
        <f t="shared" si="3"/>
        <v>916</v>
      </c>
      <c r="S19" s="21">
        <f t="shared" si="4"/>
        <v>-0.10177777777777777</v>
      </c>
      <c r="T19" s="21">
        <f t="shared" si="5"/>
        <v>9.2375958047599835E-2</v>
      </c>
    </row>
    <row r="20" spans="8:20" x14ac:dyDescent="0.25">
      <c r="H20" s="24">
        <v>42160</v>
      </c>
      <c r="I20" s="28">
        <v>0.4368055555555555</v>
      </c>
      <c r="J20">
        <v>20.9</v>
      </c>
      <c r="K20" s="21">
        <v>0.91900000000000004</v>
      </c>
      <c r="L20" s="21">
        <v>0.76</v>
      </c>
      <c r="M20" s="21">
        <v>0.74</v>
      </c>
      <c r="N20" t="s">
        <v>39</v>
      </c>
      <c r="O20" s="30">
        <v>9121</v>
      </c>
      <c r="P20" s="30">
        <v>8200</v>
      </c>
      <c r="Q20" s="31">
        <f t="shared" si="3"/>
        <v>921</v>
      </c>
      <c r="S20" s="21">
        <f t="shared" si="4"/>
        <v>-0.11231707317073171</v>
      </c>
      <c r="T20" s="21">
        <f t="shared" si="5"/>
        <v>0.10097577020063589</v>
      </c>
    </row>
    <row r="21" spans="8:20" x14ac:dyDescent="0.25">
      <c r="H21" s="37">
        <v>42163</v>
      </c>
      <c r="I21" s="38">
        <v>0.2986111111111111</v>
      </c>
      <c r="J21" s="15">
        <v>20.8</v>
      </c>
      <c r="K21" s="39">
        <v>0.53</v>
      </c>
      <c r="L21" s="39">
        <v>0.82</v>
      </c>
      <c r="M21" s="39">
        <v>0.8</v>
      </c>
      <c r="N21" s="15" t="s">
        <v>39</v>
      </c>
      <c r="O21" s="40">
        <v>8107</v>
      </c>
      <c r="P21" s="40">
        <v>11000</v>
      </c>
      <c r="Q21" s="41">
        <f t="shared" si="3"/>
        <v>-2893</v>
      </c>
      <c r="R21" s="15"/>
      <c r="S21" s="39">
        <f t="shared" si="4"/>
        <v>0.26300000000000001</v>
      </c>
      <c r="T21" s="39">
        <f t="shared" si="5"/>
        <v>-0.35685210312075982</v>
      </c>
    </row>
    <row r="22" spans="8:20" x14ac:dyDescent="0.25">
      <c r="H22" s="37">
        <v>42163</v>
      </c>
      <c r="I22" s="38">
        <v>0.31527777777777777</v>
      </c>
      <c r="J22" s="15">
        <v>20.399999999999999</v>
      </c>
      <c r="K22" s="39">
        <v>0.50900000000000001</v>
      </c>
      <c r="L22" s="39">
        <v>0.81</v>
      </c>
      <c r="M22" s="39">
        <v>0.79</v>
      </c>
      <c r="N22" s="15" t="s">
        <v>39</v>
      </c>
      <c r="O22" s="40">
        <v>7893</v>
      </c>
      <c r="P22" s="40">
        <v>11000</v>
      </c>
      <c r="Q22" s="41">
        <f t="shared" si="3"/>
        <v>-3107</v>
      </c>
      <c r="R22" s="15"/>
      <c r="S22" s="39">
        <f t="shared" si="4"/>
        <v>0.28245454545454546</v>
      </c>
      <c r="T22" s="39">
        <f t="shared" si="5"/>
        <v>-0.39363993411883946</v>
      </c>
    </row>
    <row r="23" spans="8:20" x14ac:dyDescent="0.25">
      <c r="H23" s="37">
        <v>42163</v>
      </c>
      <c r="I23" s="38">
        <v>0.44930555555555557</v>
      </c>
      <c r="J23" s="15">
        <v>20.100000000000001</v>
      </c>
      <c r="K23" s="39">
        <v>0.72299999999999998</v>
      </c>
      <c r="L23" s="39">
        <v>0.77</v>
      </c>
      <c r="M23" s="39">
        <v>0.75</v>
      </c>
      <c r="N23" s="15" t="s">
        <v>39</v>
      </c>
      <c r="O23" s="40">
        <v>6012</v>
      </c>
      <c r="P23" s="40">
        <v>8800</v>
      </c>
      <c r="Q23" s="41">
        <f t="shared" si="3"/>
        <v>-2788</v>
      </c>
      <c r="R23" s="15"/>
      <c r="S23" s="39">
        <f t="shared" si="4"/>
        <v>0.31681818181818183</v>
      </c>
      <c r="T23" s="39">
        <f t="shared" si="5"/>
        <v>-0.46373918829008648</v>
      </c>
    </row>
    <row r="24" spans="8:20" x14ac:dyDescent="0.25">
      <c r="H24" s="37">
        <v>42163</v>
      </c>
      <c r="I24" s="38">
        <v>0.59097222222222223</v>
      </c>
      <c r="J24" s="15">
        <v>17.8</v>
      </c>
      <c r="K24" s="39">
        <v>0.90500000000000003</v>
      </c>
      <c r="L24" s="39">
        <v>0.75</v>
      </c>
      <c r="M24" s="39">
        <v>0.77</v>
      </c>
      <c r="N24" s="15" t="s">
        <v>39</v>
      </c>
      <c r="O24" s="40">
        <v>6469</v>
      </c>
      <c r="P24" s="40">
        <v>8000</v>
      </c>
      <c r="Q24" s="41">
        <f t="shared" si="3"/>
        <v>-1531</v>
      </c>
      <c r="R24" s="15"/>
      <c r="S24" s="39">
        <f t="shared" si="4"/>
        <v>0.19137499999999999</v>
      </c>
      <c r="T24" s="39">
        <f t="shared" si="5"/>
        <v>-0.23666718194465913</v>
      </c>
    </row>
    <row r="25" spans="8:20" x14ac:dyDescent="0.25">
      <c r="H25" s="37">
        <v>42164</v>
      </c>
      <c r="I25" s="38">
        <v>0.45833333333333331</v>
      </c>
      <c r="J25" s="15">
        <v>16.8</v>
      </c>
      <c r="K25" s="39">
        <v>0.38800000000000001</v>
      </c>
      <c r="L25" s="39">
        <v>0.84</v>
      </c>
      <c r="M25" s="39" t="s">
        <v>39</v>
      </c>
      <c r="N25" s="39" t="s">
        <v>39</v>
      </c>
      <c r="O25" s="40">
        <v>5238</v>
      </c>
      <c r="P25" s="40">
        <v>9700</v>
      </c>
      <c r="Q25" s="41">
        <f t="shared" si="3"/>
        <v>-4462</v>
      </c>
      <c r="R25" s="15"/>
      <c r="S25" s="39">
        <f t="shared" si="4"/>
        <v>0.46</v>
      </c>
      <c r="T25" s="39">
        <f t="shared" si="5"/>
        <v>-0.85185185185185186</v>
      </c>
    </row>
    <row r="26" spans="8:20" x14ac:dyDescent="0.25">
      <c r="H26" s="37">
        <v>42167</v>
      </c>
      <c r="I26" s="38">
        <v>0.33402777777777781</v>
      </c>
      <c r="J26" s="15">
        <v>24.3</v>
      </c>
      <c r="K26" s="39">
        <v>0.501</v>
      </c>
      <c r="L26" s="39">
        <v>0.8</v>
      </c>
      <c r="M26" s="39">
        <v>0.79</v>
      </c>
      <c r="N26" s="15" t="s">
        <v>39</v>
      </c>
      <c r="O26" s="40">
        <v>7951</v>
      </c>
      <c r="P26" s="40">
        <v>11200</v>
      </c>
      <c r="Q26" s="41">
        <f t="shared" si="3"/>
        <v>-3249</v>
      </c>
      <c r="R26" s="15"/>
      <c r="S26" s="39">
        <f t="shared" si="4"/>
        <v>0.29008928571428572</v>
      </c>
      <c r="T26" s="39">
        <f t="shared" si="5"/>
        <v>-0.40862784555401838</v>
      </c>
    </row>
    <row r="27" spans="8:20" x14ac:dyDescent="0.25">
      <c r="H27" s="37">
        <v>42170</v>
      </c>
      <c r="I27" s="38">
        <v>0.31527777777777777</v>
      </c>
      <c r="J27" s="15">
        <v>26.8</v>
      </c>
      <c r="K27" s="39">
        <v>0.30599999999999999</v>
      </c>
      <c r="L27" s="39">
        <v>0.84</v>
      </c>
      <c r="M27" s="39">
        <v>0.81</v>
      </c>
      <c r="N27" s="15" t="s">
        <v>39</v>
      </c>
      <c r="O27" s="40">
        <v>8667</v>
      </c>
      <c r="P27" s="40">
        <v>11500</v>
      </c>
      <c r="Q27" s="41">
        <f t="shared" si="3"/>
        <v>-2833</v>
      </c>
      <c r="R27" s="15"/>
      <c r="S27" s="39">
        <f t="shared" si="4"/>
        <v>0.24634782608695652</v>
      </c>
      <c r="T27" s="39">
        <f t="shared" si="5"/>
        <v>-0.32687204338294679</v>
      </c>
    </row>
    <row r="28" spans="8:20" x14ac:dyDescent="0.25">
      <c r="H28" s="24">
        <v>42181</v>
      </c>
      <c r="I28" s="28">
        <v>0.34930555555555554</v>
      </c>
      <c r="J28" s="36">
        <v>29</v>
      </c>
      <c r="K28" s="21">
        <v>0.47499999999999998</v>
      </c>
      <c r="L28" s="21">
        <v>0.79</v>
      </c>
      <c r="M28" s="21">
        <v>0.78</v>
      </c>
      <c r="N28" t="s">
        <v>39</v>
      </c>
      <c r="O28" s="30">
        <v>11575</v>
      </c>
      <c r="P28" s="30">
        <v>11100</v>
      </c>
      <c r="Q28" s="31">
        <f t="shared" si="3"/>
        <v>475</v>
      </c>
      <c r="S28" s="21">
        <f t="shared" si="4"/>
        <v>-4.2792792792792793E-2</v>
      </c>
      <c r="T28" s="21">
        <f t="shared" si="5"/>
        <v>4.1036717062634988E-2</v>
      </c>
    </row>
    <row r="29" spans="8:20" x14ac:dyDescent="0.25">
      <c r="H29" s="42">
        <v>42186</v>
      </c>
      <c r="I29" s="43">
        <v>0.31736111111111115</v>
      </c>
      <c r="J29" s="44">
        <v>27.9</v>
      </c>
      <c r="K29" s="45">
        <v>0.31</v>
      </c>
      <c r="L29" s="45">
        <v>0.89</v>
      </c>
      <c r="M29" s="45">
        <v>0.87</v>
      </c>
      <c r="N29" s="44" t="s">
        <v>39</v>
      </c>
      <c r="O29" s="46">
        <v>14769</v>
      </c>
      <c r="P29" s="46">
        <v>14500</v>
      </c>
      <c r="Q29" s="47">
        <f t="shared" si="3"/>
        <v>269</v>
      </c>
      <c r="R29" s="44"/>
      <c r="S29" s="45">
        <f t="shared" si="4"/>
        <v>-1.8551724137931033E-2</v>
      </c>
      <c r="T29" s="45">
        <f t="shared" si="5"/>
        <v>1.8213826257701942E-2</v>
      </c>
    </row>
    <row r="30" spans="8:20" x14ac:dyDescent="0.25">
      <c r="H30" s="24">
        <v>42187</v>
      </c>
      <c r="I30" s="28">
        <v>0.36736111111111108</v>
      </c>
      <c r="J30" s="36">
        <v>22</v>
      </c>
      <c r="K30" s="21">
        <v>0.83099999999999996</v>
      </c>
      <c r="L30" s="21">
        <v>0.83</v>
      </c>
      <c r="M30" s="21">
        <v>0.8</v>
      </c>
      <c r="N30" s="21" t="s">
        <v>39</v>
      </c>
      <c r="O30" s="30">
        <v>11179</v>
      </c>
      <c r="P30" s="30">
        <v>10000</v>
      </c>
      <c r="Q30" s="31">
        <f t="shared" si="3"/>
        <v>1179</v>
      </c>
      <c r="S30" s="21">
        <f t="shared" si="4"/>
        <v>-0.1179</v>
      </c>
      <c r="T30" s="21">
        <f t="shared" si="5"/>
        <v>0.10546560515251811</v>
      </c>
    </row>
    <row r="31" spans="8:20" x14ac:dyDescent="0.25">
      <c r="H31" s="24">
        <v>42277</v>
      </c>
      <c r="I31" s="28">
        <v>0.67361111111111116</v>
      </c>
      <c r="J31" s="36">
        <v>17.3</v>
      </c>
      <c r="K31" s="21">
        <v>0.80400000000000005</v>
      </c>
      <c r="L31" s="21" t="s">
        <v>39</v>
      </c>
      <c r="M31" s="21">
        <v>0.85</v>
      </c>
      <c r="N31" t="s">
        <v>39</v>
      </c>
      <c r="O31" s="30">
        <v>8370</v>
      </c>
      <c r="P31" s="30">
        <v>8000</v>
      </c>
      <c r="Q31" s="31">
        <f t="shared" si="3"/>
        <v>370</v>
      </c>
      <c r="S31" s="21">
        <f t="shared" si="4"/>
        <v>-4.6249999999999999E-2</v>
      </c>
      <c r="T31" s="21">
        <f t="shared" si="5"/>
        <v>4.4205495818399047E-2</v>
      </c>
    </row>
    <row r="32" spans="8:20" x14ac:dyDescent="0.25">
      <c r="H32" s="24">
        <v>42332</v>
      </c>
      <c r="I32" s="28">
        <v>0.49305555555555558</v>
      </c>
      <c r="J32" s="36">
        <v>22.1</v>
      </c>
      <c r="K32" s="21">
        <v>0.84</v>
      </c>
      <c r="L32" s="21">
        <v>0.75</v>
      </c>
      <c r="M32" s="21">
        <v>0.75</v>
      </c>
      <c r="N32" t="s">
        <v>39</v>
      </c>
      <c r="O32" s="30">
        <v>8908</v>
      </c>
      <c r="P32" s="30">
        <v>8000</v>
      </c>
      <c r="Q32" s="31">
        <f t="shared" ref="Q32:Q34" si="6">O32-P32</f>
        <v>908</v>
      </c>
      <c r="S32" s="21">
        <f t="shared" ref="S32:S34" si="7">(P32-O32)/P32</f>
        <v>-0.1135</v>
      </c>
      <c r="T32" s="21">
        <f t="shared" ref="T32:T34" si="8">(O32-P32)/O32</f>
        <v>0.101930848675348</v>
      </c>
    </row>
    <row r="33" spans="8:20" x14ac:dyDescent="0.25">
      <c r="H33" s="24">
        <v>42523</v>
      </c>
      <c r="I33" s="28">
        <v>0.3756944444444445</v>
      </c>
      <c r="J33" s="36">
        <v>22.6</v>
      </c>
      <c r="K33" s="21">
        <v>0.81100000000000005</v>
      </c>
      <c r="L33" s="21">
        <v>0.8</v>
      </c>
      <c r="M33" s="21">
        <v>0.78</v>
      </c>
      <c r="N33" t="s">
        <v>39</v>
      </c>
      <c r="O33" s="30">
        <v>9927</v>
      </c>
      <c r="P33" s="30">
        <v>10000</v>
      </c>
      <c r="Q33" s="31">
        <f t="shared" si="6"/>
        <v>-73</v>
      </c>
      <c r="S33" s="21">
        <f t="shared" si="7"/>
        <v>7.3000000000000001E-3</v>
      </c>
      <c r="T33" s="21">
        <f t="shared" si="8"/>
        <v>-7.3536818777072627E-3</v>
      </c>
    </row>
    <row r="34" spans="8:20" x14ac:dyDescent="0.25">
      <c r="H34" s="24">
        <v>42846</v>
      </c>
      <c r="I34" s="28">
        <v>0.29166666666666669</v>
      </c>
      <c r="J34" s="36">
        <v>27.9</v>
      </c>
      <c r="K34" s="21">
        <v>0.57799999999999996</v>
      </c>
      <c r="L34" s="21">
        <v>0.89</v>
      </c>
      <c r="M34" s="21">
        <v>0.88</v>
      </c>
      <c r="N34" t="s">
        <v>39</v>
      </c>
      <c r="O34" s="30">
        <v>14982</v>
      </c>
      <c r="P34" s="30">
        <v>14000</v>
      </c>
      <c r="Q34" s="31">
        <f t="shared" si="6"/>
        <v>982</v>
      </c>
      <c r="S34" s="21">
        <f t="shared" si="7"/>
        <v>-7.0142857142857146E-2</v>
      </c>
      <c r="T34" s="21">
        <f t="shared" si="8"/>
        <v>6.5545321051928979E-2</v>
      </c>
    </row>
    <row r="35" spans="8:20" x14ac:dyDescent="0.25">
      <c r="H35" s="24"/>
      <c r="I35" s="28"/>
      <c r="J35" s="36"/>
      <c r="K35" s="21"/>
      <c r="L35" s="21"/>
      <c r="M35" s="21"/>
      <c r="O35" s="30"/>
      <c r="P35" s="30"/>
      <c r="Q35" s="31"/>
      <c r="S35" s="21"/>
      <c r="T35" s="21"/>
    </row>
    <row r="36" spans="8:20" x14ac:dyDescent="0.25">
      <c r="H36" s="24"/>
      <c r="I36" s="28"/>
      <c r="J36" s="36"/>
      <c r="K36" s="21"/>
      <c r="L36" s="21"/>
      <c r="M36" s="21"/>
      <c r="O36" s="30"/>
      <c r="P36" s="30"/>
      <c r="Q36" s="31"/>
      <c r="S36" s="21"/>
      <c r="T36" s="21"/>
    </row>
    <row r="37" spans="8:20" x14ac:dyDescent="0.25">
      <c r="H37" s="24"/>
      <c r="I37" s="28"/>
      <c r="J37" s="36"/>
      <c r="K37" s="21"/>
      <c r="L37" s="21"/>
      <c r="M37" s="21"/>
      <c r="O37" s="30"/>
      <c r="P37" s="30"/>
      <c r="Q37" s="31"/>
      <c r="S37" s="21"/>
      <c r="T37" s="21"/>
    </row>
    <row r="38" spans="8:20" x14ac:dyDescent="0.25">
      <c r="H38" s="24"/>
      <c r="I38" s="28"/>
      <c r="J38" s="36"/>
      <c r="K38" s="21"/>
      <c r="L38" s="21"/>
      <c r="M38" s="21"/>
      <c r="O38" s="30"/>
      <c r="P38" s="30"/>
      <c r="Q38" s="31"/>
      <c r="S38" s="21"/>
      <c r="T38" s="21"/>
    </row>
    <row r="39" spans="8:20" x14ac:dyDescent="0.25">
      <c r="H39" s="24"/>
      <c r="I39" s="28"/>
      <c r="J39" s="36"/>
      <c r="K39" s="21"/>
      <c r="L39" s="21"/>
      <c r="M39" s="21"/>
      <c r="O39" s="30"/>
      <c r="P39" s="30"/>
      <c r="Q39" s="31"/>
      <c r="S39" s="21"/>
      <c r="T39" s="21"/>
    </row>
    <row r="40" spans="8:20" x14ac:dyDescent="0.25">
      <c r="H40" s="24"/>
      <c r="I40" s="28"/>
      <c r="J40" s="36"/>
      <c r="K40" s="21"/>
      <c r="L40" s="21"/>
      <c r="M40" s="21"/>
      <c r="O40" s="30"/>
      <c r="P40" s="30"/>
      <c r="Q40" s="31"/>
      <c r="S40" s="21"/>
      <c r="T40" s="21"/>
    </row>
    <row r="41" spans="8:20" x14ac:dyDescent="0.25">
      <c r="H41" s="24"/>
      <c r="I41" s="28"/>
      <c r="J41" s="36"/>
      <c r="K41" s="21"/>
      <c r="L41" s="21"/>
      <c r="M41" s="21"/>
      <c r="O41" s="30"/>
      <c r="P41" s="30"/>
      <c r="Q41" s="31"/>
      <c r="S41" s="21"/>
      <c r="T41" s="21"/>
    </row>
    <row r="42" spans="8:20" x14ac:dyDescent="0.25">
      <c r="H42" s="24"/>
      <c r="I42" s="28"/>
      <c r="J42" s="36"/>
      <c r="K42" s="21"/>
      <c r="L42" s="21"/>
      <c r="M42" s="21"/>
      <c r="O42" s="30"/>
      <c r="P42" s="30"/>
      <c r="Q42" s="31"/>
      <c r="S42" s="21"/>
      <c r="T42" s="21"/>
    </row>
    <row r="43" spans="8:20" x14ac:dyDescent="0.25">
      <c r="H43" s="24"/>
      <c r="I43" s="28"/>
      <c r="J43" s="36"/>
      <c r="K43" s="21"/>
      <c r="L43" s="21"/>
      <c r="M43" s="21"/>
      <c r="O43" s="30"/>
      <c r="P43" s="30"/>
      <c r="Q43" s="31"/>
      <c r="S43" s="21"/>
      <c r="T43" s="21"/>
    </row>
    <row r="44" spans="8:20" x14ac:dyDescent="0.25">
      <c r="H44" s="24"/>
      <c r="I44" s="28"/>
      <c r="J44" s="36"/>
      <c r="K44" s="21"/>
      <c r="L44" s="21"/>
      <c r="M44" s="21"/>
      <c r="O44" s="30"/>
      <c r="P44" s="30"/>
      <c r="Q44" s="31"/>
      <c r="S44" s="21"/>
      <c r="T44" s="21"/>
    </row>
    <row r="45" spans="8:20" x14ac:dyDescent="0.25">
      <c r="H45" s="24"/>
      <c r="I45" s="28"/>
      <c r="J45" s="36"/>
      <c r="K45" s="21"/>
      <c r="L45" s="21"/>
      <c r="M45" s="21"/>
      <c r="O45" s="30"/>
      <c r="P45" s="30"/>
      <c r="Q45" s="31"/>
      <c r="S45" s="21"/>
      <c r="T45" s="21"/>
    </row>
    <row r="46" spans="8:20" x14ac:dyDescent="0.25">
      <c r="H46" s="24"/>
      <c r="I46" s="28"/>
      <c r="J46" s="36"/>
      <c r="K46" s="21"/>
      <c r="L46" s="21"/>
      <c r="M46" s="21"/>
      <c r="O46" s="30"/>
      <c r="P46" s="30"/>
      <c r="Q46" s="31"/>
      <c r="S46" s="21"/>
      <c r="T46" s="21"/>
    </row>
    <row r="47" spans="8:20" x14ac:dyDescent="0.25">
      <c r="K47" s="34"/>
      <c r="L47" s="34"/>
      <c r="M47" s="34"/>
      <c r="O47" s="30"/>
      <c r="P47" s="30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System Curve Calc</vt:lpstr>
      <vt:lpstr>Sheet2</vt:lpstr>
      <vt:lpstr>Pump Curves at Diff Speeds</vt:lpstr>
      <vt:lpstr>two pumps worksheet</vt:lpstr>
      <vt:lpstr>3 pump work sheet</vt:lpstr>
      <vt:lpstr>Compare</vt:lpstr>
      <vt:lpstr>one pump graph</vt:lpstr>
      <vt:lpstr>two pumps graph</vt:lpstr>
      <vt:lpstr>Compare!Print_Area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2019-05-30T13:35:55Z</dcterms:modified>
</cp:coreProperties>
</file>